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ile02\sistemas\Ronald\2020\04 PCM\Datos Abiertos\DSR - 27-10-2020\Registro Hidrocarburos\03. Establecimientos VP de CL y GLP\"/>
    </mc:Choice>
  </mc:AlternateContent>
  <bookViews>
    <workbookView xWindow="0" yWindow="0" windowWidth="20633" windowHeight="7039"/>
  </bookViews>
  <sheets>
    <sheet name="EstacionesdeServicioconGasocent" sheetId="1" r:id="rId1"/>
  </sheets>
  <calcPr calcId="162913"/>
</workbook>
</file>

<file path=xl/calcChain.xml><?xml version="1.0" encoding="utf-8"?>
<calcChain xmlns="http://schemas.openxmlformats.org/spreadsheetml/2006/main">
  <c r="C1140" i="1" l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<sst xmlns="http://schemas.openxmlformats.org/spreadsheetml/2006/main" count="15708" uniqueCount="5852">
  <si>
    <t>REGISTROS HÁBILES DE ESTACIONES DE SERVICIO CON GASOCENTRO DE GLP (Actualizado al 29 DE OCTUBRE DE 2020 - 15:09)</t>
  </si>
  <si>
    <t>No</t>
  </si>
  <si>
    <t>EXPEDIENTE</t>
  </si>
  <si>
    <t>CODIGO OSINERGMIN</t>
  </si>
  <si>
    <t>REGISTRO</t>
  </si>
  <si>
    <t>RUC</t>
  </si>
  <si>
    <t>RAZON SOCIAL</t>
  </si>
  <si>
    <t>DIRECCION OPERATIVA</t>
  </si>
  <si>
    <t>DEPARTAMENTO</t>
  </si>
  <si>
    <t>PROVINCIA</t>
  </si>
  <si>
    <t>DISTRITO</t>
  </si>
  <si>
    <t>TIPO DE ESTABLECIMIENTO</t>
  </si>
  <si>
    <t>TANQUE 1</t>
  </si>
  <si>
    <t>TANQUE 2</t>
  </si>
  <si>
    <t>TANQUE 3</t>
  </si>
  <si>
    <t>TANQUE 4</t>
  </si>
  <si>
    <t>TANQUE 5</t>
  </si>
  <si>
    <t>TANQUE 6</t>
  </si>
  <si>
    <t>TANQUE 7</t>
  </si>
  <si>
    <t>TANQUE 8</t>
  </si>
  <si>
    <t>TANQUE 9</t>
  </si>
  <si>
    <t>TANQUE 10</t>
  </si>
  <si>
    <t>TANQUE 11</t>
  </si>
  <si>
    <t>TANQUE 12</t>
  </si>
  <si>
    <t>TANQUE 13</t>
  </si>
  <si>
    <t>TANQUE 14</t>
  </si>
  <si>
    <t>TANQUE 15</t>
  </si>
  <si>
    <t>CAP.TOTAL CL (gln)</t>
  </si>
  <si>
    <t>CAP.TOTAL GLP (gln)</t>
  </si>
  <si>
    <t>FEC. EMISION</t>
  </si>
  <si>
    <t>TÉRMINO DE VIGENCIA</t>
  </si>
  <si>
    <t>REPRESENTANTE</t>
  </si>
  <si>
    <t>GLP EN CILINDROS</t>
  </si>
  <si>
    <t>120066-056-201016</t>
  </si>
  <si>
    <t>ESTACION DE SERVICIOS EL CARIBE S.A.C.</t>
  </si>
  <si>
    <t>CARRETERA PANAMERICANA NORTE KM 778+500 - SECTOR LA TINA</t>
  </si>
  <si>
    <t>LAMBAYEQUE</t>
  </si>
  <si>
    <t>ESTACION DE SERVICIO CON GASOCENTRO DE GLP</t>
  </si>
  <si>
    <t>C1:9340:DIESEL B5,Diesel B5 S-50 </t>
  </si>
  <si>
    <t>C1:4653:GASOHOL 95 PLUS C2:4653:GASOHOL 90 PLUS </t>
  </si>
  <si>
    <t>C1:5356:GASOHOL 84 PLUS </t>
  </si>
  <si>
    <t>10000:GAS LICUADO DE PETROLEO </t>
  </si>
  <si>
    <t>INDEFINIDO</t>
  </si>
  <si>
    <t xml:space="preserve">SEFERINA CABRERA PEREZ DE VASQUEZ </t>
  </si>
  <si>
    <t>18373-056-310816</t>
  </si>
  <si>
    <t>JANETE SOLAIDA MANTARI MANTARI</t>
  </si>
  <si>
    <t>CARRETERA ICA PARCONA KM. 001 + 150 VISTA ALEGRE</t>
  </si>
  <si>
    <t>ICA</t>
  </si>
  <si>
    <t>PARCONA</t>
  </si>
  <si>
    <t>C1:5000:GASOHOL 84 PLUS </t>
  </si>
  <si>
    <t>C1:5000:GASOHOL 95 PLUS </t>
  </si>
  <si>
    <t>C1:5000:GASOHOL 90 PLUS </t>
  </si>
  <si>
    <t>C1:8000:DIESEL B5,Diesel B5 S-50 </t>
  </si>
  <si>
    <t>C1:8000:SIN PRODUCTO </t>
  </si>
  <si>
    <t>4000:GAS LICUADO DE PETROLEO </t>
  </si>
  <si>
    <t>9364-056-251016</t>
  </si>
  <si>
    <t>FULL SERVICE LA MOLINA S.A.C.</t>
  </si>
  <si>
    <t>AV. LA MOLINA N° 2421</t>
  </si>
  <si>
    <t>LIMA</t>
  </si>
  <si>
    <t>LA MOLINA</t>
  </si>
  <si>
    <t>C1:8000:GASOHOL 95 PLUS </t>
  </si>
  <si>
    <t>C1:8000:GASOHOL 90 PLUS </t>
  </si>
  <si>
    <t>C1:4000:SIN PRODUCTO </t>
  </si>
  <si>
    <t>C1:6000:Diesel B5 S-50 </t>
  </si>
  <si>
    <t>C1:3000:SIN PRODUCTO C2:3000:SIN PRODUCTO </t>
  </si>
  <si>
    <t>C1:4000:GASOHOL 97 PLUS </t>
  </si>
  <si>
    <t>4500:GAS LICUADO DE PETROLEO </t>
  </si>
  <si>
    <t>NOEMI POBLETE ZAPATA</t>
  </si>
  <si>
    <t>9288-056-160819</t>
  </si>
  <si>
    <t>J &amp; C TRADING CORPORATION S.A.C.</t>
  </si>
  <si>
    <t>AV. LAS TORRES MZ. K LOTE 6, ASOC. DIGNIDAD NACIONAL - HUACHIPA</t>
  </si>
  <si>
    <t>LURIGANCHO</t>
  </si>
  <si>
    <t>C1:8000:Diesel B5 S-50 </t>
  </si>
  <si>
    <t>C1:8000:GASOHOL 84 PLUS </t>
  </si>
  <si>
    <t>C1:3000:GASOHOL 90 PLUS </t>
  </si>
  <si>
    <t>C1:3700:Diesel B5 S-50 </t>
  </si>
  <si>
    <t>C1:2000:GASOHOL 95 PLUS </t>
  </si>
  <si>
    <t>C1:2000:GASOHOL 97 PLUS </t>
  </si>
  <si>
    <t>3200:GAS LICUADO DE PETROLEO </t>
  </si>
  <si>
    <t>JORGE LUIS ALIAGA CARRASCO</t>
  </si>
  <si>
    <t>124621-056-141019</t>
  </si>
  <si>
    <t>REPRESENTACIONES ALCAHUAMAN SAC</t>
  </si>
  <si>
    <t>AV. VICTORIO GOTUZZO N° 571</t>
  </si>
  <si>
    <t>LA TINGUIÑA</t>
  </si>
  <si>
    <t>C1:2000:GASOHOL 90 PLUS C2:2000:GASOHOL 95 PLUS </t>
  </si>
  <si>
    <t>YASMIN LUISA ALCAHUAMAN PALOMINO</t>
  </si>
  <si>
    <t>92270-056-220118</t>
  </si>
  <si>
    <t>PETROLEOS EL SOL E.I.R.L.</t>
  </si>
  <si>
    <t>CENTRO POBLADO TRADICIONAL DE CHALA, LOTE 1, MZ.25</t>
  </si>
  <si>
    <t>AREQUIPA</t>
  </si>
  <si>
    <t>CARAVELI</t>
  </si>
  <si>
    <t>CHALA</t>
  </si>
  <si>
    <t>C1:7980:DIESEL B5 </t>
  </si>
  <si>
    <t>C1:3501:GASOHOL 90 PLUS C2:2998:GASOHOL 95 PLUS C3:1500:GASOHOL 84 PLUS </t>
  </si>
  <si>
    <t>5000:GAS LICUADO DE PETROLEO </t>
  </si>
  <si>
    <t>FAVIO JHUNIOR ALATRISTA TAYPE</t>
  </si>
  <si>
    <t>17905-056-051218</t>
  </si>
  <si>
    <t>CEPOCAR S.R.L.</t>
  </si>
  <si>
    <t>AV. STA. ROSA N 496 ESQ. CALLE LA PILA</t>
  </si>
  <si>
    <t>SAN JUAN DE LURIGANCHO</t>
  </si>
  <si>
    <t>C1:2000:GASOHOL 95 PLUS C2:3000:GASOHOL 95 PLUS </t>
  </si>
  <si>
    <t>C1:3000:GASOHOL 90 PLUS C2:2000:GASOHOL 97 PLUS </t>
  </si>
  <si>
    <t>C1:5000:Diesel B5 S-50 </t>
  </si>
  <si>
    <t>2500:GAS LICUADO DE PETROLEO </t>
  </si>
  <si>
    <t>CARLOS ALBERTO CARDENAS DEXTRE</t>
  </si>
  <si>
    <t>104536-056-191219</t>
  </si>
  <si>
    <t>INBAFE S.A.C.</t>
  </si>
  <si>
    <t>INTERSECCION DEL JR. MARIA MIRANDA Y JR. SANTOS BRAVO</t>
  </si>
  <si>
    <t>JUNIN</t>
  </si>
  <si>
    <t>CHUPACA</t>
  </si>
  <si>
    <t>C1:6500:Diesel B5 S-50 </t>
  </si>
  <si>
    <t>C1:2000:GASOHOL 90 PLUS C2:2500:GASOHOL 95 PLUS C3:2000:Diesel B5 S-50 </t>
  </si>
  <si>
    <t xml:space="preserve">RONEL SPENCER BARRIOS FELICES </t>
  </si>
  <si>
    <t>41569-056-260618</t>
  </si>
  <si>
    <t xml:space="preserve">CONSUR PERU E.I.R.L. </t>
  </si>
  <si>
    <t>CARRETERA CENTRAL HUARAZ - CARAZ KM 22.5</t>
  </si>
  <si>
    <t>ANCASH</t>
  </si>
  <si>
    <t>CARHUAZ</t>
  </si>
  <si>
    <t>MARCARA</t>
  </si>
  <si>
    <t>C1:1500:GASOHOL 97 PLUS C2:2000:GASOHOL 95 PLUS C3:2500:GASOHOL 90 PLUS </t>
  </si>
  <si>
    <t>3500:GAS LICUADO DE PETROLEO </t>
  </si>
  <si>
    <t>DIONICIO PERCY HUALLPA RODRIGUEZ</t>
  </si>
  <si>
    <t>8292-056-300118</t>
  </si>
  <si>
    <t>HIDROCARBUROS PERUANOS DE CALIDAD S.R.L.</t>
  </si>
  <si>
    <t>CARRETERA CENTRAL KM. 5 HUANUCO - TINGO MARIA</t>
  </si>
  <si>
    <t>HUANUCO</t>
  </si>
  <si>
    <t>AMARILIS</t>
  </si>
  <si>
    <t>C1:4500:Diesel B5 S-50 </t>
  </si>
  <si>
    <t>C1:4500:GASOHOL 90 PLUS </t>
  </si>
  <si>
    <t>C1:4500:GASOHOL 95 PLUS </t>
  </si>
  <si>
    <t>MEDARDO JACK ARIAS YAPIAS</t>
  </si>
  <si>
    <t>40852-056-230620</t>
  </si>
  <si>
    <t>ESTACION DE SERVICIOS SAN MARTIN E.I.R.L.</t>
  </si>
  <si>
    <t>CARRETERA JAEN SAN IGNACIO KM. 21.5 CASERIO LINDEROS</t>
  </si>
  <si>
    <t>CAJAMARCA</t>
  </si>
  <si>
    <t>JAEN</t>
  </si>
  <si>
    <t>C1:3101:GASOHOL 95 PLUS </t>
  </si>
  <si>
    <t>C1:3098:Diesel B5 S-50 </t>
  </si>
  <si>
    <t>C1:3098:GASOHOL 84 PLUS </t>
  </si>
  <si>
    <t>C1:2999:GASOHOL 90 PLUS </t>
  </si>
  <si>
    <t>JORGE LUIS ARCE REQUEJO</t>
  </si>
  <si>
    <t>148475-056-301219</t>
  </si>
  <si>
    <t>JORGE HUAMAN URETA</t>
  </si>
  <si>
    <t>CARRETERA CENTRAL MARGINAL S/N SATIPO – LA MERCED, CENTRO POBLADO DE PUCHARIN</t>
  </si>
  <si>
    <t>CHANCHAMAYO</t>
  </si>
  <si>
    <t>PERENE</t>
  </si>
  <si>
    <t>C1:2000:GASOHOL 84 PLUS C2:1500:GASOHOL 97 PLUS C3:2500:GASOHOL 90 PLUS </t>
  </si>
  <si>
    <t>34452-056-181020</t>
  </si>
  <si>
    <t>ESTACION DE SERVICIOS GASOCENTRO SAN MARTIN DE PORRES SAC</t>
  </si>
  <si>
    <t>CARRETERA FERNANDO BELAUNDE TERRY KM. 17 MZ. "4" LT.11, DEL CENTRO POBLADO DE NUEVO BAMBAMARCA</t>
  </si>
  <si>
    <t>SAN MARTIN</t>
  </si>
  <si>
    <t>TOCACHE</t>
  </si>
  <si>
    <t>C1:5000:GASOLINA 90 </t>
  </si>
  <si>
    <t>C1:2000:GASOLINA 84 </t>
  </si>
  <si>
    <t>6000:GAS LICUADO DE PETROLEO </t>
  </si>
  <si>
    <t>ALEJANDRINA MICHUE MENDOZA</t>
  </si>
  <si>
    <t>6974-056-130916</t>
  </si>
  <si>
    <t>SUPER GRIFO CHINCHA S.A.C.</t>
  </si>
  <si>
    <t>CARRETERA PANAMERICANA SUR 791, ALT KM. 197.5</t>
  </si>
  <si>
    <t>CHINCHA</t>
  </si>
  <si>
    <t>CHINCHA ALTA</t>
  </si>
  <si>
    <t>C1:6000:GASOHOL 90 PLUS </t>
  </si>
  <si>
    <t>C1:6000:GASOHOL 98 PLUS </t>
  </si>
  <si>
    <t>C1:10000:GASOHOL 84 PLUS </t>
  </si>
  <si>
    <t>C1:10000:GASOHOL 95 PLUS </t>
  </si>
  <si>
    <t>C1:10000:DIESEL B5,Diesel B5 S-50 </t>
  </si>
  <si>
    <t>C1:10000:Diesel B5 S-50 </t>
  </si>
  <si>
    <t>MANOLO CLEMENTE FERNANDEZ DIAZ</t>
  </si>
  <si>
    <t>20118-056-270520</t>
  </si>
  <si>
    <t>PANAMERICANA SUR KM. 299</t>
  </si>
  <si>
    <t>SUBTANJALLA</t>
  </si>
  <si>
    <t>C1:4000:GASOHOL 95 PLUS </t>
  </si>
  <si>
    <t>C1:4000:Diesel B5 S-50 </t>
  </si>
  <si>
    <t>C1:4000:DIESEL B5,Diesel B5 S-50 </t>
  </si>
  <si>
    <t>C1:4000:GASOHOL 90 PLUS </t>
  </si>
  <si>
    <t>34928-056-010920</t>
  </si>
  <si>
    <t>ESTACION DE SERVICIOS MIRWAL S.A.C.</t>
  </si>
  <si>
    <t>AV. MIGUEL IGLESIAS ESQUINA CON AV. ANDRES A. CACERES MZ. E, LOTES 14 Y 15, AA.HH. HEROES DE SAN JUAN</t>
  </si>
  <si>
    <t>SAN JUAN DE MIRAFLORES</t>
  </si>
  <si>
    <t>C1:7830:Diesel B5 S-50 </t>
  </si>
  <si>
    <t>C1:2317:GASOHOL 95 PLUS </t>
  </si>
  <si>
    <t>C1:2317:GASOHOL 90 PLUS </t>
  </si>
  <si>
    <t>C1:2317:GASOHOL 97 PLUS </t>
  </si>
  <si>
    <t>RAUL ALFONSO MEJIA AGURTO</t>
  </si>
  <si>
    <t>122038-056-300620</t>
  </si>
  <si>
    <t>ESTACION DE SERVICIO Y GASOCENTRO MIRAFLORES SOCIEDAD COMERCIAL DE RESPONSABILIDAD LIMITADA</t>
  </si>
  <si>
    <t>PROLONGACION AV. CHULUCANAS EX FUNDO EL CHIPE (FRENTE A UNIVERSIDAD CESAR VALLEJO)</t>
  </si>
  <si>
    <t>PIURA</t>
  </si>
  <si>
    <t>VEINTISEIS DE OCTUBRE</t>
  </si>
  <si>
    <t>C1:5100:GASOHOL 84 PLUS </t>
  </si>
  <si>
    <t>C1:7200:GASOHOL 90 PLUS </t>
  </si>
  <si>
    <t>C1:7200:Diesel B5 S-50 </t>
  </si>
  <si>
    <t>EYZAGUIRRE ESPINOZA ROLANDO ENRIQUE</t>
  </si>
  <si>
    <t>94582-056-220418</t>
  </si>
  <si>
    <t>MULTICENTRO ESPERANZA E.I.R.L.</t>
  </si>
  <si>
    <t>AV. REAL S/N ENTRADA AL CENTRO POBLADO BATANGRANDE</t>
  </si>
  <si>
    <t>FERREÑAFE</t>
  </si>
  <si>
    <t>PITIPO</t>
  </si>
  <si>
    <t>C1:2370:Diesel B5 S-50 </t>
  </si>
  <si>
    <t>C1:1185:GASOHOL 84 PLUS C2:1185:GASOHOL 90 PLUS </t>
  </si>
  <si>
    <t>SULMA ICELA FERNANDEZ VASQUEZ</t>
  </si>
  <si>
    <t>6943-056-080620</t>
  </si>
  <si>
    <t>SERG &amp; H GAS S.A.C.</t>
  </si>
  <si>
    <t>AV. PANAMERICANA SUR (ANTIGUA CARRETERA PANAMERICANA SUR) KM. 300.5, SAN JOAQUIN</t>
  </si>
  <si>
    <t>C1:1500:Diesel B5 S-50 </t>
  </si>
  <si>
    <t>C1:1200:GASOHOL 84 PLUS C2:1200:GASOHOL 90 PLUS C3:600:GASOHOL 95 PLUS </t>
  </si>
  <si>
    <t>SERGIO BELLIDO ROCA</t>
  </si>
  <si>
    <t>8044-056-210520</t>
  </si>
  <si>
    <t>AUGUSTO CURO BENITES S.R.L.</t>
  </si>
  <si>
    <t>KM. 01 CARRETERA SECHURA - BAYOVAR</t>
  </si>
  <si>
    <t>SECHURA</t>
  </si>
  <si>
    <t>C1:3500:GASOHOL 95 PLUS </t>
  </si>
  <si>
    <t>C1:3400:GASOHOL 90 PLUS </t>
  </si>
  <si>
    <t>C1:6600:GASOHOL 84 PLUS </t>
  </si>
  <si>
    <t>C1:6400:Diesel B5 S-50 </t>
  </si>
  <si>
    <t xml:space="preserve">CURO BENITES VICTOR AUGUSTO </t>
  </si>
  <si>
    <t>132037-056-110318</t>
  </si>
  <si>
    <t>ESTACION DE SERVICIOS AVE FENIX S.A.</t>
  </si>
  <si>
    <t>CARRETERA INDUSTRIAL A LAREDO CRUCE CON LA AV. SANTA ROSA URB. VILLA DE CONTADORES</t>
  </si>
  <si>
    <t>LA LIBERTAD</t>
  </si>
  <si>
    <t>TRUJILLO</t>
  </si>
  <si>
    <t>C1:10450:DIESEL B5,Diesel B5 S-50 </t>
  </si>
  <si>
    <t>C1:0:DIESEL B5,Diesel B2 S-50 </t>
  </si>
  <si>
    <t>C1:3280:GASOHOL 84 PLUS </t>
  </si>
  <si>
    <t>C1:3280:GASOHOL 90 PLUS </t>
  </si>
  <si>
    <t>C1:3280:GASOHOL 95 PLUS </t>
  </si>
  <si>
    <t>C1:3280:GASOHOL 97 PLUS </t>
  </si>
  <si>
    <t>TOMAS GRAUS VILLANUEVA</t>
  </si>
  <si>
    <t>139411-056-070120</t>
  </si>
  <si>
    <t>NEGOCIACION KIO S.A.C.</t>
  </si>
  <si>
    <t>PARCELACIÓN HUERTOS DE VILLENA MZ. B LT. 4</t>
  </si>
  <si>
    <t>PACHACAMAC</t>
  </si>
  <si>
    <t>C1:10000:GASOHOL 90 PLUS </t>
  </si>
  <si>
    <t>C1:10000:GASOHOL 97 PLUS </t>
  </si>
  <si>
    <t>YVES JESUS ALIAGA CARRASCO</t>
  </si>
  <si>
    <t>21622-056-310118</t>
  </si>
  <si>
    <t>ESTACION DE SERVICIOS MANCHEGO S.R.L.</t>
  </si>
  <si>
    <t>AV. VICTORIO GOTUZZO N° 1102</t>
  </si>
  <si>
    <t>C1:2000:GASOHOL 90 PLUS </t>
  </si>
  <si>
    <t>C1:1000:Diesel B5 S-50 </t>
  </si>
  <si>
    <t>C1:2600:Diesel B5 S-50 </t>
  </si>
  <si>
    <t>C1:1000:GASOHOL 84 PLUS </t>
  </si>
  <si>
    <t>EINAR LIZARDO MANCHEGO PALOMINO</t>
  </si>
  <si>
    <t>7382-056-280115</t>
  </si>
  <si>
    <t>ESTACION DE SERVICIO EL MOLINO S.A.C.</t>
  </si>
  <si>
    <t>CALLE GODOFREDO MANRIQUE NO. 100, CON SALAVERRY LARA</t>
  </si>
  <si>
    <t>SOCABAYA</t>
  </si>
  <si>
    <t>C1:2000:SIN PRODUCTO </t>
  </si>
  <si>
    <t>3000:GAS LICUADO DE PETROLEO </t>
  </si>
  <si>
    <t>HENRY ELMER NUÑEZ VALENCIA</t>
  </si>
  <si>
    <t>17879-056-080319</t>
  </si>
  <si>
    <t>ESTACIONES DE SERVICIO GASOLINAS DE AMERICA SAC</t>
  </si>
  <si>
    <t>AV. GENERAL GARZON N° 688</t>
  </si>
  <si>
    <t>JESUS MARIA</t>
  </si>
  <si>
    <t>C1:5828:GASOHOL 95 PLUS </t>
  </si>
  <si>
    <t>C1:3826:GASOHOL 95 PLUS C2:1820:GASOHOL 97 PLUS </t>
  </si>
  <si>
    <t>PEDRO NOE BRYZON ROCA</t>
  </si>
  <si>
    <t>15736-056-210312</t>
  </si>
  <si>
    <t>ESTACION DE SERVICIOS CHALLE E.I.R.L.</t>
  </si>
  <si>
    <t>AV. PROLONGACIÓN IGNACIO MERINO MZ. A1-LOTE 3</t>
  </si>
  <si>
    <t>TALARA</t>
  </si>
  <si>
    <t>PARIÑAS</t>
  </si>
  <si>
    <t>C1:6000:GASOHOL 84 PLUS </t>
  </si>
  <si>
    <t>C1:6000:GASOHOL 95 PLUS </t>
  </si>
  <si>
    <t>CARLOS HUMBERTO SALAZAR YOVERA</t>
  </si>
  <si>
    <t>138914-056-150319</t>
  </si>
  <si>
    <t xml:space="preserve">CONTI GAS S.A.C. </t>
  </si>
  <si>
    <t>COOPERATIVA DE VIVIENDA VILLA DEL MAR N° 104-LADO B, AV 1RO DE MAYO N° 2289 Y N° 2291 Y PSJ. VILLA N° 194 Y 196</t>
  </si>
  <si>
    <t>EL AGUSTINO</t>
  </si>
  <si>
    <t>C1:2080:GASOHOL 90 PLUS </t>
  </si>
  <si>
    <t>C1:1200:GASOHOL 98 PLUS C2:1200:Diesel B5 S-50 C3:1200:GASOHOL 95 PLUS </t>
  </si>
  <si>
    <t>ISMAEL ANTONIO DIAZ MINAYA</t>
  </si>
  <si>
    <t>141890-056-150719</t>
  </si>
  <si>
    <t xml:space="preserve">COESTI S.A. </t>
  </si>
  <si>
    <t>ESQUINA JR. UNION N° 501 CON JR. HUALLAGA</t>
  </si>
  <si>
    <t>C1:3900:Diesel B5 S-50 </t>
  </si>
  <si>
    <t>C1:1300:GASOHOL 90 PLUS </t>
  </si>
  <si>
    <t>C1:3900:GASOHOL 90 PLUS </t>
  </si>
  <si>
    <t>C1:2600:GASOHOL 95 PLUS </t>
  </si>
  <si>
    <t>ABRAHAM HUGO CALDERON MAVILA</t>
  </si>
  <si>
    <t>136340-056-020618</t>
  </si>
  <si>
    <t>ESTACION DE SERVICIOS EL TRANSPORTISTA II E.I.R.L.</t>
  </si>
  <si>
    <t>PARCELA 13-B PREDIO MOCOLLOPE, CARRETERA PANAMERICANA NORTE KM. 613 C.P. SINTUCO (COSTADO PARADERO SINTUCO)</t>
  </si>
  <si>
    <t>ASCOPE</t>
  </si>
  <si>
    <t>CHOCOPE</t>
  </si>
  <si>
    <t>C1:4000:GASOHOL 84 PLUS </t>
  </si>
  <si>
    <t>PAQUITA YOVANNA SANCHEZ TANDAZO</t>
  </si>
  <si>
    <t>0005-EGLP-11-2010</t>
  </si>
  <si>
    <t>SERVICENTRO DOCE S.A.</t>
  </si>
  <si>
    <t>AV. FERMIN TANGUIS S/N, MZ A LOTES 4 Y 5 LOTIZACIÓN JUAN JOSÉ</t>
  </si>
  <si>
    <t>PISCO</t>
  </si>
  <si>
    <t>C1:6000:DIESEL B2,GASOLINA 84,GASOLINA 90,GASOLINA 95 </t>
  </si>
  <si>
    <t xml:space="preserve">MAIO CASTILLO MARTIN JOSE </t>
  </si>
  <si>
    <t>14516-056-280318</t>
  </si>
  <si>
    <t>MULTISERVICIOS LA FLORIDA S.A.C.</t>
  </si>
  <si>
    <t>PROLONGACION GRAU S/N CUADRA 09</t>
  </si>
  <si>
    <t>C1:2000:GASOHOL 84 PLUS </t>
  </si>
  <si>
    <t>C1:2000:GASOHOL 95 PLUS C2:2000:GASOHOL 97 PLUS </t>
  </si>
  <si>
    <t>WILLIAMS JESUS ESPINO SALCEDO</t>
  </si>
  <si>
    <t>133203-056-021219</t>
  </si>
  <si>
    <t>ESTACION DE SERVICIOS PASO DE LOS ANDES SAC</t>
  </si>
  <si>
    <t>LOTE VD 461 III-B SECTOR EL MILAGRO VALLE (CUENCA) MOCHE</t>
  </si>
  <si>
    <t>HUANCHACO</t>
  </si>
  <si>
    <t>C1:6200:Diesel B5 S-50 </t>
  </si>
  <si>
    <t>C1:2100:GASOHOL 90 PLUS C2:1550:GASOHOL 95 PLUS C3:1100:GASOHOL 98 PLUS </t>
  </si>
  <si>
    <t>IVAN LAZO INCA</t>
  </si>
  <si>
    <t>18591-056-260919</t>
  </si>
  <si>
    <t>GLOBAL FUEL S.A.</t>
  </si>
  <si>
    <t>AV. AVIACIÓN N° 600</t>
  </si>
  <si>
    <t>CERRO COLORADO</t>
  </si>
  <si>
    <t>C1:5900:GASOHOL 90 PLUS </t>
  </si>
  <si>
    <t>C1:5900:Diesel B5 S-50 </t>
  </si>
  <si>
    <t>C1:3900:GASOHOL 97 PLUS </t>
  </si>
  <si>
    <t>C1:3900:GASOHOL 95 PLUS </t>
  </si>
  <si>
    <t>C1:2600:SIN PRODUCTO </t>
  </si>
  <si>
    <t>JACINTO FRANCIA ABURTO</t>
  </si>
  <si>
    <t>8475-056-211217</t>
  </si>
  <si>
    <t>GRIFO AEROPUERTO 610 S.R.L.</t>
  </si>
  <si>
    <t>CARRETERA PANAMERICANA SUR KM. 610</t>
  </si>
  <si>
    <t>C1:1500:GASOHOL 97 PLUS </t>
  </si>
  <si>
    <t>C1:7500:Diesel B5 S-50 </t>
  </si>
  <si>
    <t>C1:5580:Diesel B5 S-50 </t>
  </si>
  <si>
    <t>C1:1500:GASOHOL 90 PLUS </t>
  </si>
  <si>
    <t>C1:820:GASOHOL 95 PLUS </t>
  </si>
  <si>
    <t>C1:2500:Diesel B5 S-50 </t>
  </si>
  <si>
    <t>MARIO POMA VALENTIN</t>
  </si>
  <si>
    <t>16100-056-130911</t>
  </si>
  <si>
    <t>ESTACION DE SERVICOS OTTAWA S.A.C.</t>
  </si>
  <si>
    <t>AV. TOMAS VALLE INTERSECCIÓN CON AV. PACASMAYO, MZ. C LT.1 Y 24, URB. JORGE CHAVEZ</t>
  </si>
  <si>
    <t>PROV. CONST. DEL CALLAO</t>
  </si>
  <si>
    <t>CALLAO</t>
  </si>
  <si>
    <t>C1:7638:Diesel B5 S-50 </t>
  </si>
  <si>
    <t>C1:6464:GASOHOL 84 PLUS </t>
  </si>
  <si>
    <t>C1:3819:GASOHOL 90 PLUS C2:3819:SIN PRODUCTO </t>
  </si>
  <si>
    <t>C1:3819:GASOHOL 95 PLUS C2:3819:GASOHOL 97 PLUS </t>
  </si>
  <si>
    <t>JOSE LUIS YACTATO ESPEJO</t>
  </si>
  <si>
    <t>140185-056-310820</t>
  </si>
  <si>
    <t>SERVICENTRO DELUSA S.A.C.</t>
  </si>
  <si>
    <t>MZ. X2 LOTE 04, URB. MIRAFLORES ALTO</t>
  </si>
  <si>
    <t>SANTA</t>
  </si>
  <si>
    <t>CHIMBOTE</t>
  </si>
  <si>
    <t>C1:2000:GASOHOL 98 PLUS C2:2000:GASOHOL 95 PLUS C3:3000:GASOHOL 90 PLUS </t>
  </si>
  <si>
    <t>JHOSEPT AMADO PEREZ MIMBELA</t>
  </si>
  <si>
    <t>6899-056-041018</t>
  </si>
  <si>
    <t>SERVICENTRO ORDESUR S.A.C.</t>
  </si>
  <si>
    <t>PANAMERICANA SUR KM. 196</t>
  </si>
  <si>
    <t>GROCIO PRADO</t>
  </si>
  <si>
    <t>3100:GAS LICUADO DE PETROLEO </t>
  </si>
  <si>
    <t>RUBILA LEIVA LAZARO</t>
  </si>
  <si>
    <t>99420-056-140920</t>
  </si>
  <si>
    <t>GRUPO BALLENA II S.A.C.</t>
  </si>
  <si>
    <t xml:space="preserve">AV. JOSE PARDO MZ. S2 LOTE 2 PUEBLO JOVEN MIRAFLORES ALTO </t>
  </si>
  <si>
    <t>C1:2000:GASOHOL 90 PLUS C2:2000:GASOHOL 98 PLUS C3:2000:GASOHOL 95 PLUS </t>
  </si>
  <si>
    <t>CARLOS HUMBERTO BALLENA CABRERA</t>
  </si>
  <si>
    <t>127843-056-210520</t>
  </si>
  <si>
    <t>GASOLINERAS PIURA S.R.L.</t>
  </si>
  <si>
    <t>CARRETERA PIURA CHULUCANAS KM 21</t>
  </si>
  <si>
    <t>CASTILLA</t>
  </si>
  <si>
    <t>C1:2000:GASOHOL 84 PLUS C2:2000:GASOHOL 95 PLUS </t>
  </si>
  <si>
    <t>C1:5300:Diesel B5 S-50 </t>
  </si>
  <si>
    <t>C1:6100:Diesel B5 S-50 </t>
  </si>
  <si>
    <t>PINGO BAYONA JESUS DIONICIO</t>
  </si>
  <si>
    <t>61877-056-280920</t>
  </si>
  <si>
    <t>VIKA &amp; C SERVICES E.I.R.L.</t>
  </si>
  <si>
    <t>CARRETERA SULLANA A TAMBOGRANDE KM. 43</t>
  </si>
  <si>
    <t>TAMBO GRANDE</t>
  </si>
  <si>
    <t>C1:3450:Diesel B5 S-50 </t>
  </si>
  <si>
    <t>C1:1000:GASOHOL 90 PLUS </t>
  </si>
  <si>
    <t>C1:2500:GASOHOL 84 PLUS </t>
  </si>
  <si>
    <t>VICTOR SEGUNDO ELESPURU SAAVEDRA</t>
  </si>
  <si>
    <t>94779-056-061017</t>
  </si>
  <si>
    <t>URSULA DONAIRES QUISPE</t>
  </si>
  <si>
    <t>AV. PACHACUTEC S/N MZ AÑ LOTE 11 Y 12 SECTOR CERCADO, PAMPA CANTO GRANDE</t>
  </si>
  <si>
    <t>HUAROCHIRI</t>
  </si>
  <si>
    <t>SAN ANTONIO</t>
  </si>
  <si>
    <t>C1:3260:GASOHOL 95 PLUS </t>
  </si>
  <si>
    <t>C1:3250:Diesel B5 S-50 </t>
  </si>
  <si>
    <t>6768-056-200516</t>
  </si>
  <si>
    <t xml:space="preserve">ESTACION DE SERVICIOS HERCO S.A.C. </t>
  </si>
  <si>
    <t>AV. ARGENTINA N° 2045</t>
  </si>
  <si>
    <t>C1:4000:GASOHOL 95 PLUS C2:4000:GASOHOL 90 PLUS </t>
  </si>
  <si>
    <t>2000:GAS LICUADO DE PETROLEO </t>
  </si>
  <si>
    <t>ADIB ABUDAYEH SANSUR</t>
  </si>
  <si>
    <t>137870-056-160119</t>
  </si>
  <si>
    <t>SOFI PETROL E.I.R.L.</t>
  </si>
  <si>
    <t>CARRETERA JAEN – SAN IGNACIO. PREDIO BUENAVISTA – SECTOR EL PUQUIO (ALTURA INGRESO AL AEROPUERTO)</t>
  </si>
  <si>
    <t>BELLAVISTA</t>
  </si>
  <si>
    <t>C1:9000:Diesel B5 S-50 </t>
  </si>
  <si>
    <t>C1:4000:GASOHOL 84 PLUS C2:5000:GASOHOL 90 PLUS </t>
  </si>
  <si>
    <t>C1:1800:GASOHOL 95 PLUS C2:1800:GASOHOL 98 PLUS </t>
  </si>
  <si>
    <t>5200:GAS LICUADO DE PETROLEO </t>
  </si>
  <si>
    <t xml:space="preserve">JOSE JAVIER TROYA PARIHUAMAN </t>
  </si>
  <si>
    <t>18553-056-120816</t>
  </si>
  <si>
    <t xml:space="preserve">REPSOL COMERCIAL S.A.C. </t>
  </si>
  <si>
    <t>AV. ELMER FAUCETT N° 377</t>
  </si>
  <si>
    <t>CARMEN DE LA LEGUA REYNOSO</t>
  </si>
  <si>
    <t>C1:5000:GASOHOL 98 PLUS </t>
  </si>
  <si>
    <t>C1:5000:SIN PRODUCTO </t>
  </si>
  <si>
    <t>C1:3000:SIN PRODUCTO </t>
  </si>
  <si>
    <t>VICTOR GONZALO CASTILLO OVIEDO</t>
  </si>
  <si>
    <t>7897-056-271217</t>
  </si>
  <si>
    <t>PETRO EXPLORIUM S.A.C.</t>
  </si>
  <si>
    <t>KM. 25 DE LA CARRETERA PANAMERICANA NORTE</t>
  </si>
  <si>
    <t>PUENTE PIEDRA</t>
  </si>
  <si>
    <t>C1:4000:GASOHOL 98 PLUS </t>
  </si>
  <si>
    <t>JAIME VIRGILIO BREÑA CHAVEZ</t>
  </si>
  <si>
    <t>105578-056-190916</t>
  </si>
  <si>
    <t>GRIFO SAN ANTONIO E.I.R.L.</t>
  </si>
  <si>
    <t>AV LOS INCAS N° 293</t>
  </si>
  <si>
    <t>CHICLAYO</t>
  </si>
  <si>
    <t>LA VICTORIA</t>
  </si>
  <si>
    <t>C1:5000:DIESEL B5,Diesel B5 S-50 </t>
  </si>
  <si>
    <t>C1:2700:GASOHOL 90 PLUS </t>
  </si>
  <si>
    <t>C1:2700:GASOHOL 95 PLUS </t>
  </si>
  <si>
    <t>C1:2700:GASOHOL 98 PLUS </t>
  </si>
  <si>
    <t>DAVID FRANCISCO LA TORRE ALARCON</t>
  </si>
  <si>
    <t>33410-056-251016</t>
  </si>
  <si>
    <t>ESTACION DE SERVICIOS GRIFO ALAMO E.I.R.L.</t>
  </si>
  <si>
    <t>AV. PACASMAYO Y AV. COLECTORA, MZ. O, LOTES 16A, 21A, 22, 22A, 23, 24,25 ASOCIACION PRO-VIV. TRABAJADORES PUERTO CALLAO II ETAPA</t>
  </si>
  <si>
    <t>C1:2000:GASOHOL 90 PLUS C2:2000:GASOHOL 84 PLUS </t>
  </si>
  <si>
    <t>FEDERICO MARCELO HUERTA TORRES</t>
  </si>
  <si>
    <t>8056-056-100916</t>
  </si>
  <si>
    <t>CARRETERA PANAMERICANA NORTE KM. 3 (SALIDA A LAMBAYEQUE)</t>
  </si>
  <si>
    <t>C1:6839:DIESEL B5,Diesel B5 S-50 </t>
  </si>
  <si>
    <t>C1:4614:GASOHOL 84 PLUS </t>
  </si>
  <si>
    <t>C1:2734:GASOHOL 95 PLUS C2:2719:GASOHOL 90 PLUS </t>
  </si>
  <si>
    <t>21483-056-020719</t>
  </si>
  <si>
    <t>INVERSIONES MULTIPLES NUEVO MUNDO S.A.C.</t>
  </si>
  <si>
    <t>AV. CAMINO REAL MZ. N, LOTE 5, AA.HH. RAMAL PLAYA</t>
  </si>
  <si>
    <t>C1:6060:SIN PRODUCTO </t>
  </si>
  <si>
    <t>C1:3027:GASOHOL 90 PLUS C2:3027:SIN PRODUCTO </t>
  </si>
  <si>
    <t>C1:3027:Diesel B5 S-50 C2:3027:GASOHOL 95 PLUS </t>
  </si>
  <si>
    <t>CARLOS ALBERTO SOLORZANO GUTIERREZ</t>
  </si>
  <si>
    <t>90236-056-130520</t>
  </si>
  <si>
    <t>GASOCENTRO RONALD S.A.C.</t>
  </si>
  <si>
    <t>CARRETERA SALIDA A CHICLAYO, UNIDAD CATASTRAL 027659 PREDIO ALFALFAR</t>
  </si>
  <si>
    <t>AMAZONAS</t>
  </si>
  <si>
    <t>CHACHAPOYAS</t>
  </si>
  <si>
    <t>C1:3000:Diesel B5 S-50 C2:3000:Diesel B5 S-50 </t>
  </si>
  <si>
    <t>C1:3000:GASOLINA 95 C2:3000:GASOLINA 90 </t>
  </si>
  <si>
    <t>ELIA MARLENY VILLACREZ SALAZAR</t>
  </si>
  <si>
    <t>16640-056-211215</t>
  </si>
  <si>
    <t>REPSOL COMERCIAL S.A.C.</t>
  </si>
  <si>
    <t>AV. DEL PARQUE SUR 285 ESQ. AV. GUARDIA CIVIL</t>
  </si>
  <si>
    <t>SAN ISIDRO</t>
  </si>
  <si>
    <t>C1:3200:GAS LICUADO DE PETROLEO </t>
  </si>
  <si>
    <t>C1:10000:GASOHOL 98 PLUS </t>
  </si>
  <si>
    <t>132827-056-151117</t>
  </si>
  <si>
    <t>ESTACIÓN DE SERVICIOS VIRGEN DE COCHARCAS PAUCARA S.A.C.</t>
  </si>
  <si>
    <t>AV. ICA S/N CARRETERA HACIA HUANCAVELICA-HUANCAYO,BARRIO PROGRESO,SITIO CAMPAMENTO</t>
  </si>
  <si>
    <t>HUANCAVELICA</t>
  </si>
  <si>
    <t>ACOBAMBA</t>
  </si>
  <si>
    <t>PAUCARA</t>
  </si>
  <si>
    <t>C1:3500:GASOHOL 90 PLUS C2:1500:GASOHOL 95 PLUS </t>
  </si>
  <si>
    <t>GEORGE JAVIER CUETO AROTOMA</t>
  </si>
  <si>
    <t>62527-056-261019</t>
  </si>
  <si>
    <t>MULTISERVICIOS WILMERCITO S.A.C.</t>
  </si>
  <si>
    <t>ASENTAMIENTO HUMANO INDOAMERICANO CALLE 20 DE SETIEMBRE N° 1098 MZ. 14 LT. 17</t>
  </si>
  <si>
    <t>EL PORVENIR</t>
  </si>
  <si>
    <t>C1:3000:Diesel B5 S-50 </t>
  </si>
  <si>
    <t>C1:1400:GASOHOL 95 PLUS </t>
  </si>
  <si>
    <t>C1:900:GASOHOL 90 PLUS </t>
  </si>
  <si>
    <t>C1:1100:GASOHOL 90 PLUS </t>
  </si>
  <si>
    <t>C1:4065:Diesel B5 S-50 </t>
  </si>
  <si>
    <t>C1:3300:GASOHOL 90 PLUS </t>
  </si>
  <si>
    <t xml:space="preserve">RODOLFO FELIPE ACOSTA BACA </t>
  </si>
  <si>
    <t>144331-056-130520</t>
  </si>
  <si>
    <t>ONCAP S.A.C.</t>
  </si>
  <si>
    <t xml:space="preserve">CARRETERA PIURA - LOS EJIDOS, PREDIO RC 18849, SANTA INA (P), SECTOR EJIDOS DEL NORTE </t>
  </si>
  <si>
    <t>C1:4000:GASOHOL 90 PLUS C2:4000:GASOHOL 84 PLUS </t>
  </si>
  <si>
    <t>C1:4000:GASOHOL 97 PLUS C2:4000:GASOHOL 95 PLUS </t>
  </si>
  <si>
    <t>CAPRILE HERNANDEZ GIANFRANCO</t>
  </si>
  <si>
    <t>15222-056-110812</t>
  </si>
  <si>
    <t xml:space="preserve">INVERSIONES E INDUSTRIAS MIRFER S.A.C. </t>
  </si>
  <si>
    <t>AV. MANUEL A. ODRIA Nº 1922</t>
  </si>
  <si>
    <t>TARMA</t>
  </si>
  <si>
    <t>C1:5600:DIESEL B5 </t>
  </si>
  <si>
    <t>C1:5000:DIESEL B5 </t>
  </si>
  <si>
    <t>C1:5100:DIESEL B5 </t>
  </si>
  <si>
    <t>C1:3800:GASOHOL 97 PLUS </t>
  </si>
  <si>
    <t>7800:GAS LICUADO DE PETROLEO </t>
  </si>
  <si>
    <t>FERNANDO SANTIAGO GARCIA ESPINOZA</t>
  </si>
  <si>
    <t>8812-056-291118</t>
  </si>
  <si>
    <t>ESTACION DE ENERGIAS EL CENTENARIO SOCIEDAD ANONIMA CERRADA</t>
  </si>
  <si>
    <t>AVENIDA PROGRESO N° 401, ESQUINA CALLE CALVARIO MZ. L3 LT. 1</t>
  </si>
  <si>
    <t>MIRAFLORES</t>
  </si>
  <si>
    <t>C1:5362:GASOHOL 90 PLUS </t>
  </si>
  <si>
    <t>C1:2009:GASOHOL 84 PLUS </t>
  </si>
  <si>
    <t>C1:2009:GASOHOL 95 PLUS </t>
  </si>
  <si>
    <t xml:space="preserve">JULIO VIDAL CHOQUECOTA VISCACHO </t>
  </si>
  <si>
    <t>63898-056-210717</t>
  </si>
  <si>
    <t>AQUILES RUFO VERDE SALGADO</t>
  </si>
  <si>
    <t>CARRETERA CENTRAL HUANUCO - TINGO MARIA KM. 0+500, LLICUA BAJA</t>
  </si>
  <si>
    <t>C1:3000:GASOHOL 90 PLUS C2:3000:GASOHOL 97 PLUS </t>
  </si>
  <si>
    <t>3400:GAS LICUADO DE PETROLEO </t>
  </si>
  <si>
    <t>20126-056-160712</t>
  </si>
  <si>
    <t>ESTACIONES DE SERVICIO MERLY E.I.R.L.</t>
  </si>
  <si>
    <t>CARRETERA PANAMERICANA NORTE KM. 154</t>
  </si>
  <si>
    <t>HUAURA</t>
  </si>
  <si>
    <t>C1:4000:GASOHOL 90 PLUS C2:2000:GASOHOL 95 PLUS C3:2000:GASOHOL 97 PLUS </t>
  </si>
  <si>
    <t>C1:6000:GASOHOL 84 PLUS,SIN PRODUCTO </t>
  </si>
  <si>
    <t>ELOISA JUSTA OBISPO CARDENAS</t>
  </si>
  <si>
    <t>18538-056-190618</t>
  </si>
  <si>
    <t>AV. AVIACION N° 2004</t>
  </si>
  <si>
    <t>C1:4000:GASOHOL 95 PLUS C2:4000:Diesel B5 S-50 </t>
  </si>
  <si>
    <t>C1:4000:GASOHOL 90 PLUS C2:4000:Diesel B5 S-50 </t>
  </si>
  <si>
    <t>7252-056-110920</t>
  </si>
  <si>
    <t>GESA DEL ORIENTE S.A</t>
  </si>
  <si>
    <t>AV. ENRIQUE PIMENTEL NRO. 116 - TINGO MARIA</t>
  </si>
  <si>
    <t>LEONCIO PRADO</t>
  </si>
  <si>
    <t>RUPA-RUPA</t>
  </si>
  <si>
    <t>C1:11500:GASOHOL 84 PLUS </t>
  </si>
  <si>
    <t>C1:9000:GASOHOL 90 PLUS </t>
  </si>
  <si>
    <t>JOSE MARWIN RIVERO VELASQUEZ</t>
  </si>
  <si>
    <t>131087-056-200817</t>
  </si>
  <si>
    <t>ESTACION DE SERVICIOS OLMOS E.I.R.L.</t>
  </si>
  <si>
    <t>CARRETERA PANAMERICANA ESQUINA CON LA AV. SAN MARTIN</t>
  </si>
  <si>
    <t>OLMOS</t>
  </si>
  <si>
    <t>C1:4500:Diesel B5 S-50 UV </t>
  </si>
  <si>
    <t>C1:1500:GASOHOL 84 PLUS C2:1500:GASOHOL 90 PLUS C3:1500:GASOHOL 95 PLUS </t>
  </si>
  <si>
    <t>VALERIO ACOSTA SANTISTEBAN</t>
  </si>
  <si>
    <t>7353-056-051218</t>
  </si>
  <si>
    <t>ESTACION DE ENERGIAS EL CENTENARIO S.A.C.</t>
  </si>
  <si>
    <t>CALLE RICARDO PALMA N° 502 - 504 UMACOLLO</t>
  </si>
  <si>
    <t>C1:6700:GASOHOL 90 PLUS </t>
  </si>
  <si>
    <t>C1:3400:GASOHOL 95 PLUS </t>
  </si>
  <si>
    <t>C1:3800:GASOHOL 98 PLUS </t>
  </si>
  <si>
    <t>C1:3800:Diesel B5 S-50 </t>
  </si>
  <si>
    <t>JULIO VIDAL CHOQUECOTA VISCACHO</t>
  </si>
  <si>
    <t>15515-056-200120</t>
  </si>
  <si>
    <t>INVERSIONES SALAZAR E.I.R.L.</t>
  </si>
  <si>
    <t>JR. BOLOGNESI Nº 834</t>
  </si>
  <si>
    <t>PASCO</t>
  </si>
  <si>
    <t>CHAUPIMARCA</t>
  </si>
  <si>
    <t>TEODORO WALTER SALAZAR SOLANO</t>
  </si>
  <si>
    <t>39424-056-130714</t>
  </si>
  <si>
    <t>ESTACION DE SERVICIOS MONTE EVEREST S.A.C.</t>
  </si>
  <si>
    <t>AVENIDA CESAR VALLEJO N° 1180 - 1186 URB. ARANJUEZ</t>
  </si>
  <si>
    <t>C1:5012:DIESEL B5 </t>
  </si>
  <si>
    <t>C1:5012:GASOHOL 84 PLUS </t>
  </si>
  <si>
    <t>C1:2950:GASOHOL 90 PLUS C2:2054:GASOHOL 95 PLUS </t>
  </si>
  <si>
    <t>MARIA TERESA RUIZ ALVARO DE VALENZUELA</t>
  </si>
  <si>
    <t>14722-056-031118</t>
  </si>
  <si>
    <t xml:space="preserve">GRIFO SERVITOR S.A. </t>
  </si>
  <si>
    <t>AV. ALFREDO MENDIOLA N° 1395 - URB. LA MILLA</t>
  </si>
  <si>
    <t>SAN MARTIN DE PORRES</t>
  </si>
  <si>
    <t>C1:5150:Diesel B5 S-50 </t>
  </si>
  <si>
    <t>C1:5150:GASOHOL 90 PLUS </t>
  </si>
  <si>
    <t>C1:5150:GASOHOL 97 PLUS </t>
  </si>
  <si>
    <t>C1:5150:GASOHOL 95 PLUS </t>
  </si>
  <si>
    <t>CHRISTIAN CESAR HIGA SHIMABUKURO</t>
  </si>
  <si>
    <t>134208-056-220820</t>
  </si>
  <si>
    <t xml:space="preserve">J.E.W. S.R.LTDA </t>
  </si>
  <si>
    <t>JIRON GALVEZ N° 919</t>
  </si>
  <si>
    <t>BARRANCA</t>
  </si>
  <si>
    <t>C1:3000:GASOHOL 95 PLUS </t>
  </si>
  <si>
    <t>C1:1500:GASOHOL 84 PLUS C2:1500:GASOHOL 97 PLUS </t>
  </si>
  <si>
    <t>C1:7000:Diesel B5 S-50 </t>
  </si>
  <si>
    <t>JOSE ALFREDO LUNG CHANG</t>
  </si>
  <si>
    <t>6849-056-171219</t>
  </si>
  <si>
    <t xml:space="preserve">GIOVANNI LEONCIO AGUIRRE MORENO </t>
  </si>
  <si>
    <t>AV. MANSICHE Nº 1110 URB. SANTA INES</t>
  </si>
  <si>
    <t>C1:4000:GASOHOL 90 PLUS C2:4000:GASOHOL 95 PLUS </t>
  </si>
  <si>
    <t>C1:8200:Diesel B5 S-50 </t>
  </si>
  <si>
    <t>GIOVANNI LEONCIO AGUIRRE MORENO</t>
  </si>
  <si>
    <t>107083-056-190718</t>
  </si>
  <si>
    <t>COMBUSTIBLES J. RAMIREZ C. E.I.R.L.</t>
  </si>
  <si>
    <t>MZ. L LOTE 1 SECTOR LAS FLORES LIMONCARRO</t>
  </si>
  <si>
    <t>PACASMAYO</t>
  </si>
  <si>
    <t>GUADALUPE</t>
  </si>
  <si>
    <t>C1:3000:DIESEL B5,Diesel B5 S-50 </t>
  </si>
  <si>
    <t>C1:1200:GASOHOL 84 PLUS </t>
  </si>
  <si>
    <t>C1:1200:GASOHOL 90 PLUS </t>
  </si>
  <si>
    <t xml:space="preserve">JOSE ARNALDO RAMIREZ CASTAÑEDA </t>
  </si>
  <si>
    <t>100345-056-220813</t>
  </si>
  <si>
    <t>ESTACION DE SERVICIOS TARMA S.R.L.</t>
  </si>
  <si>
    <t>CARRETERA TARMA - LA OROYA KM 25 + 279 SECTOR CASA BLANCA</t>
  </si>
  <si>
    <t>C1:6400:DIESEL B5 </t>
  </si>
  <si>
    <t>C1:2500:GASOHOL 90 PLUS,GASOHOL 95 PLUS C3:2000:GASOHOL 97 PLUS </t>
  </si>
  <si>
    <t>ROSA RUFINA SANCHEZ YUPANQUI</t>
  </si>
  <si>
    <t>83807-056-200614</t>
  </si>
  <si>
    <t>ESTACION DE SERVICIOS JAYANCA S.R.L.</t>
  </si>
  <si>
    <t>ANTIGUA CARRETERA PANAMERICANA NORTE KM. 33 + 136.5</t>
  </si>
  <si>
    <t>JAYANCA</t>
  </si>
  <si>
    <t>C1:1960:DIESEL B5 </t>
  </si>
  <si>
    <t>C1:1120:GASOHOL 84 PLUS </t>
  </si>
  <si>
    <t>C1:840:GASOHOL 90 PLUS C2:560:DIESEL B5 </t>
  </si>
  <si>
    <t>GLADYS MARLENY FERNANDEZ VASQUEZ</t>
  </si>
  <si>
    <t>100276-056-310318</t>
  </si>
  <si>
    <t>GRIFO CESAR EIRL</t>
  </si>
  <si>
    <t>INTERSECCION MALECON LEONCIO PRADO JR LIBERTAD</t>
  </si>
  <si>
    <t>AMBO</t>
  </si>
  <si>
    <t>C1:3000:GASOHOL 97 PLUS C2:3000:GASOHOL 90 PLUS </t>
  </si>
  <si>
    <t>C1:6000:DIESEL B5 </t>
  </si>
  <si>
    <t>EMA LIMAYMANTA LORENZO</t>
  </si>
  <si>
    <t>102051-056-150720</t>
  </si>
  <si>
    <t>PETROLNASCA S.R.L.</t>
  </si>
  <si>
    <t xml:space="preserve">AV. LOS CAFETALEROS N° 137 H.U. COMANDANTE VALENTIN ALVAREZ </t>
  </si>
  <si>
    <t>SATIPO</t>
  </si>
  <si>
    <t>MAZAMARI</t>
  </si>
  <si>
    <t>C1:2000:GASOHOL 84 PLUS C2:3000:GASOHOL 90 PLUS C3:1500:GASOHOL 97 PLUS </t>
  </si>
  <si>
    <t>FIDEL PARIONA LANASCA</t>
  </si>
  <si>
    <t>60874-056-100818</t>
  </si>
  <si>
    <t>YAÑAC AYBAR ROSALINA</t>
  </si>
  <si>
    <t>AV. PERU S/N (ANEXO PAMPA BLANCA)</t>
  </si>
  <si>
    <t>TAYACAJA</t>
  </si>
  <si>
    <t>DANIEL HERNANDEZ</t>
  </si>
  <si>
    <t>C1:3500:DIESEL B5 C2:1500:GASOHOL 90 PLUS C3:1000:GASOHOL 90 PLUS </t>
  </si>
  <si>
    <t>RAUL CHAVEZ RAMOS</t>
  </si>
  <si>
    <t>96224-056-240417</t>
  </si>
  <si>
    <t>TRANSPORTES RENT GAS S.A.C.</t>
  </si>
  <si>
    <t>AV. PACIFICO MZ. G LOTE 12 ESQUINA CON LA AV. LA MARINA – BUENOS AIRES</t>
  </si>
  <si>
    <t>NUEVO CHIMBOTE</t>
  </si>
  <si>
    <t>C1:2000:GASOHOL 98 PLUS C2:2000:GASOHOL 95 PLUS </t>
  </si>
  <si>
    <t>PEDRO MARTÍN RODRIGUEZ CHAVEZ</t>
  </si>
  <si>
    <t>106094-056-121020</t>
  </si>
  <si>
    <t>SERVICENTRO TACZA S.A.C.</t>
  </si>
  <si>
    <t>CARRETERA MARGINAL SATIPO - MAZAMARI KM 3.0</t>
  </si>
  <si>
    <t>RIO NEGRO</t>
  </si>
  <si>
    <t>C1:4037:Diesel B5 S-50 </t>
  </si>
  <si>
    <t>C1:4635:GASOHOL 90 PLUS </t>
  </si>
  <si>
    <t>C1:1550:GASOHOL 97 PLUS C2:3036:Diesel B5 S-50 </t>
  </si>
  <si>
    <t>MIGUEL ANGEL QUISPE MARAVI</t>
  </si>
  <si>
    <t>8347-056-090317</t>
  </si>
  <si>
    <t>SERVICENTROS PLAZA S.A.C.</t>
  </si>
  <si>
    <t>CARRETERA LOS LIBERTADORES KM. 19.5</t>
  </si>
  <si>
    <t>INDEPENDENCIA</t>
  </si>
  <si>
    <t>C1:8000:Diesel B5 S-50 C3:2000:GASOHOL 97 PLUS </t>
  </si>
  <si>
    <t>C1:4000:GASOHOL 90 PLUS C2:2000:GASOHOL 95 PLUS </t>
  </si>
  <si>
    <t>MIGUEL ANGEL OLARTE LUJAN</t>
  </si>
  <si>
    <t>134720-056-270218</t>
  </si>
  <si>
    <t>ESTACION DE SERVICIOS MAJO S.A.C.</t>
  </si>
  <si>
    <t>INTERSECCION AV. TAHUANTINSUYO Y AV. SAN MARTIN DE PORRES N° 1580 BARRIO SAN MARTIN DEPORRES</t>
  </si>
  <si>
    <t>C1:4000:GASOHOL 90 PLUS C2:2000:GASOHOL 84 PLUS </t>
  </si>
  <si>
    <t>ROCIO DEL PILAR IBERICO ARRIBASPLATA</t>
  </si>
  <si>
    <t>120551-056-140318</t>
  </si>
  <si>
    <t>DELTA YARINACOCHA E.I.R.L</t>
  </si>
  <si>
    <t>AV. YARINACOCHA N° 2001, 2022, 2044 - PUERTO CALLAO</t>
  </si>
  <si>
    <t>UCAYALI</t>
  </si>
  <si>
    <t>CORONEL PORTILLO</t>
  </si>
  <si>
    <t>YARINACOCHA</t>
  </si>
  <si>
    <t>C1:3000:GASOLINA 90 C2:3000:GASOLINA 95 </t>
  </si>
  <si>
    <t>C1:6000:GASOLINA 90 </t>
  </si>
  <si>
    <t>ALAN MIRKO ATACHAGUA GOMEZ</t>
  </si>
  <si>
    <t>41198-056-020613</t>
  </si>
  <si>
    <t>ESTACION DE SERVICIO PRECISION SRL</t>
  </si>
  <si>
    <t xml:space="preserve">AV. PALIAN 465 </t>
  </si>
  <si>
    <t>HUANCAYO</t>
  </si>
  <si>
    <t>C1:9000:DIESEL B5 </t>
  </si>
  <si>
    <t>C1:6000:DIESEL B5 C2:3000:GASOHOL 90 PLUS </t>
  </si>
  <si>
    <t>C1:9000:GASOHOL 84 PLUS </t>
  </si>
  <si>
    <t>C1:5000:GASOHOL 90 PLUS C2:4000:GASOHOL 97 PLUS </t>
  </si>
  <si>
    <t>MOISES CASTAÑEDA JIMENEZ</t>
  </si>
  <si>
    <t>18304-056-050619</t>
  </si>
  <si>
    <t>GRUPO CAPLINA HNOS S.A.C.</t>
  </si>
  <si>
    <t>AVENIDA MUNICIPAL S/N, MZ A, LOTE 01</t>
  </si>
  <si>
    <t>TACNA</t>
  </si>
  <si>
    <t>CORONEL GREGORIO ALBARRACIN LANCHIPA</t>
  </si>
  <si>
    <t>C1:3000:GASOHOL 90 PLUS C2:1500:GASOHOL 95 PLUS C3:1500:GASOHOL 84 PLUS </t>
  </si>
  <si>
    <t>ANGELICA MONICA MAQUERA CACERES</t>
  </si>
  <si>
    <t>38716-056-031116</t>
  </si>
  <si>
    <t>FLORES &amp; LANE S.A.C.</t>
  </si>
  <si>
    <t>AV. SAN MARTIN KM. 18.5, ESQ. CON CALLE RICARDO PALMA, MZ. H, LOTE N° 4, ZONA F, CENTRO POBLADO TAMBO VIEJO</t>
  </si>
  <si>
    <t>CIENEGUILLA</t>
  </si>
  <si>
    <t>C1:3000:GASOHOL 98 PLUS </t>
  </si>
  <si>
    <t>HUGO ENRIQUE FLORES FIGUEROA</t>
  </si>
  <si>
    <t>8191-056-041218</t>
  </si>
  <si>
    <t>AV. LIBERTADOR SIMON BOLIVAR N° 1420</t>
  </si>
  <si>
    <t>MARIANO MELGAR</t>
  </si>
  <si>
    <t>C1:6500:GASOHOL 90 PLUS </t>
  </si>
  <si>
    <t>C1:2600:GASOHOL 84 PLUS </t>
  </si>
  <si>
    <t>9097-056-200117</t>
  </si>
  <si>
    <t>SERVICENTRO AMARILIS S.R.L.</t>
  </si>
  <si>
    <t xml:space="preserve">AV. ESTEBAN PAVLETICH N° 616 </t>
  </si>
  <si>
    <t>MARTHA NIETO FARES</t>
  </si>
  <si>
    <t>138448-056-130918</t>
  </si>
  <si>
    <t xml:space="preserve">MAXIMILIANO JOAQUIN ATAO CAJA </t>
  </si>
  <si>
    <t>LOTE 1C, MZ. LL 1, PAMPA SILVA -II MESETA (ESQ. AV. JUAN SANTOS ATAHUALPA Y AV. ESPERANZA)</t>
  </si>
  <si>
    <t>C1:2000:GASOHOL 95 PLUS C2:2000:GASOHOL 90 PLUS </t>
  </si>
  <si>
    <t>135583-056-280518</t>
  </si>
  <si>
    <t>AERO GAS DEL NORTE S.A.C.</t>
  </si>
  <si>
    <t xml:space="preserve">AV. SALAVERRY NRO. 595 - PJ JOSÉ OLAYA </t>
  </si>
  <si>
    <t>C1:6500:GASOHOL 84 PLUS </t>
  </si>
  <si>
    <t>C1:6500:GASOHOL 95 PLUS </t>
  </si>
  <si>
    <t>C1:6500:GASOHOL 98 PLUS </t>
  </si>
  <si>
    <t>PEDRO CIERTO CABRERA</t>
  </si>
  <si>
    <t>18611-056-131218</t>
  </si>
  <si>
    <t>ESQUINA AV. SALAVERRY NRO. 232 - 235 CON AV. FEDERICO VILLARREAL</t>
  </si>
  <si>
    <t>LA TORRE ALARCON DAVID FRANCISCO</t>
  </si>
  <si>
    <t>18590-056-090120</t>
  </si>
  <si>
    <t>CARRETERA HUANUCO - LA UNION Nº 353-369-383</t>
  </si>
  <si>
    <t>C1:2650:GASOHOL 95 PLUS </t>
  </si>
  <si>
    <t>C1:5300:GASOHOL 90 PLUS </t>
  </si>
  <si>
    <t>C1:2650:Diesel B5 S-50 </t>
  </si>
  <si>
    <t>7497-056-221219</t>
  </si>
  <si>
    <t>SERVICENTRO RAMIREZ S.A.C.</t>
  </si>
  <si>
    <t>AV. PROLONGACION MIRAFLORES N° 2325 URB. SANTA TERESA DE AVILA</t>
  </si>
  <si>
    <t>C1:4000:Diesel B5 S-50 C2:1595:Diesel B5 S-50 </t>
  </si>
  <si>
    <t>C1:1587:GASOHOL 95 PLUS </t>
  </si>
  <si>
    <t>WILSON ADOLFO RAMIREZ SILVA</t>
  </si>
  <si>
    <t>21040-056-030418</t>
  </si>
  <si>
    <t>GRIFO AMIGO S.A.</t>
  </si>
  <si>
    <t>AVENIDA PROLONGACION CESAR VALLEJO MANZANA 46A, URBANIZACION LA RINCONADA</t>
  </si>
  <si>
    <t>C1:8000:GASOHOL 98 PLUS </t>
  </si>
  <si>
    <t>C1:4000:GASOHOL 95 PLUS C2:4000:SIN PRODUCTO </t>
  </si>
  <si>
    <t>MATIAS MARTIN ALBERTO FERRADAS BURGA</t>
  </si>
  <si>
    <t>19981-056-140515</t>
  </si>
  <si>
    <t>ESTACION SANTA RITA S.A.C.</t>
  </si>
  <si>
    <t>INTERSECCION DE LA AUTOPISTA CANTA CALLAO Y LA AV. CARLOS IZAGUIRRE</t>
  </si>
  <si>
    <t>C1:4000:GASOHOL 97 PLUS C2:4000:GASOHOL 90 PLUS </t>
  </si>
  <si>
    <t>SANTOS FREDY CALDERON AGUILAR</t>
  </si>
  <si>
    <t>9197-056-120918</t>
  </si>
  <si>
    <t>ESTACION DE SERVICIOS LA ESPERANZA E.I.R.L.</t>
  </si>
  <si>
    <t>AV.SAN MARTIN N° 1514</t>
  </si>
  <si>
    <t>OXAPAMPA</t>
  </si>
  <si>
    <t>SAUL CESAR CORREA ARROYO</t>
  </si>
  <si>
    <t>37900-056-261118</t>
  </si>
  <si>
    <t>SERVICENTRO LA ESPERANZA S.R.L.</t>
  </si>
  <si>
    <t>AV. MUNICIPAL MZ B-1 LOTE 01</t>
  </si>
  <si>
    <t>C1:8500:Diesel B5 S-50 </t>
  </si>
  <si>
    <t>DIEGO MAMANI MANSILLA</t>
  </si>
  <si>
    <t>14645-056-200519</t>
  </si>
  <si>
    <t>TERPEL PERU S.A.C.</t>
  </si>
  <si>
    <t>AV. CUBA N° 116 - 120 ESQ. CON AV. ARENALES N° 990</t>
  </si>
  <si>
    <t>C1:5000:GASOHOL 95 PLUS C2:5000:GASOHOL 90 PLUS </t>
  </si>
  <si>
    <t>C1:5000:GASOHOL 97 PLUS C2:5000:Diesel B5 S-50 </t>
  </si>
  <si>
    <t>PATRICIA CECILIA DELGADO ZEGARRA</t>
  </si>
  <si>
    <t>7221-056-280119</t>
  </si>
  <si>
    <t>SOLUCIONES &amp; INVERSIONES SANTA URSULA S.A.C.</t>
  </si>
  <si>
    <t>AV. INDEPENDENCIA S/N, ANEXO EL ARENAL</t>
  </si>
  <si>
    <t>ISLAY</t>
  </si>
  <si>
    <t>DEAN VALDIVIA</t>
  </si>
  <si>
    <t>C1:2550:GASOHOL 95 PLUS </t>
  </si>
  <si>
    <t>C1:1750:GASOHOL 90 PLUS </t>
  </si>
  <si>
    <t>JORGE SAUL HUAMANI FERIA</t>
  </si>
  <si>
    <t>135816-056-260418</t>
  </si>
  <si>
    <t>ESTACIÓN DE SERVICIOS LIDER S.R.L</t>
  </si>
  <si>
    <t>AV MÉXICO N° 274</t>
  </si>
  <si>
    <t>JOSE LEONARDO ORTIZ</t>
  </si>
  <si>
    <t>C1:3000:GASOHOL 84 PLUS C2:3000:GASOHOL 95 PLUS C3:4000:GASOHOL 90 PLUS </t>
  </si>
  <si>
    <t>ELIZABETH BURGA LOPEZ</t>
  </si>
  <si>
    <t>126097-056-080217</t>
  </si>
  <si>
    <t xml:space="preserve">LOTIZACION SEMI RUSTICA LEONCIO PRADO LOTE 108 MZ I </t>
  </si>
  <si>
    <t>C1:5000:GASOHOL 97 PLUS </t>
  </si>
  <si>
    <t xml:space="preserve">ABUDAYEH SANSUR ADIB </t>
  </si>
  <si>
    <t>7163-056-090120</t>
  </si>
  <si>
    <t>SERVICENTRO BERNY S.R.L.</t>
  </si>
  <si>
    <t>LOTE 6 MZ. G URB. NIEVERIA HUACHIPA</t>
  </si>
  <si>
    <t>C1:3200:GASOHOL 90 PLUS </t>
  </si>
  <si>
    <t>LENA LUZ GUTARRA CASTILLO DE LINDO</t>
  </si>
  <si>
    <t>18878-056-260113</t>
  </si>
  <si>
    <t>SERVICIO AUTOMOTRIZ SAN LUIS S.A.</t>
  </si>
  <si>
    <t>AV. ALAMEDA LOS HORIZONTES N° 1070, URB. LOS CEDROS</t>
  </si>
  <si>
    <t>CHORRILLOS</t>
  </si>
  <si>
    <t>C1:1500:GASOHOL 95 PLUS </t>
  </si>
  <si>
    <t>C1:638:GASOHOL 84 PLUS </t>
  </si>
  <si>
    <t>1800:GAS LICUADO DE PETROLEO </t>
  </si>
  <si>
    <t>VICTOR LUIS ALVAREZ MURO</t>
  </si>
  <si>
    <t>107029-056-031116</t>
  </si>
  <si>
    <t xml:space="preserve">ALEGROUP E.I.R.L. </t>
  </si>
  <si>
    <t>ANTIGUA PANAMERICANA NORTE KM 59.3 SECTOR 6 A - CERRO LA VIEJA</t>
  </si>
  <si>
    <t>MOTUPE</t>
  </si>
  <si>
    <t>C1:3200:DIESEL B5 </t>
  </si>
  <si>
    <t>C1:1375:GASOHOL 90 PLUS </t>
  </si>
  <si>
    <t>C1:1375:GASOHOL 84 PLUS </t>
  </si>
  <si>
    <t xml:space="preserve">HUSTLER VICENTE CASIO </t>
  </si>
  <si>
    <t>140752-056-280119</t>
  </si>
  <si>
    <t xml:space="preserve">ESTACION DE SERVICIOS RIO VIEJO II S.R.L. </t>
  </si>
  <si>
    <t>SECTOR CASERIO SAN PABLO, FICHA REGISTRAL N° 11068364</t>
  </si>
  <si>
    <t>CATACAOS</t>
  </si>
  <si>
    <t>C1:5000:GASOHOL 90 PLUS C2:1500:GASOHOL 95 PLUS C3:1500:GASOHOL 98 PLUS </t>
  </si>
  <si>
    <t>RODRIGUEZ DE LAMA MIGUEL EDGARD</t>
  </si>
  <si>
    <t>7229-056-280818</t>
  </si>
  <si>
    <t>CARRETERA CENTRAL KM. 3 MARGEN DERECHA</t>
  </si>
  <si>
    <t>PILCOMAYO</t>
  </si>
  <si>
    <t>C1:6000:SIN PRODUCTO </t>
  </si>
  <si>
    <t>0004-EGLP-12-2008</t>
  </si>
  <si>
    <t>HUGO GUILLERMO LOZANO PORTA</t>
  </si>
  <si>
    <t>AV. MARGINAL KM. 52.5</t>
  </si>
  <si>
    <t>PICHANAQUI</t>
  </si>
  <si>
    <t>C1:6600:GASOLINA 84 </t>
  </si>
  <si>
    <t>C1:6600:DIESEL B2 </t>
  </si>
  <si>
    <t>C1:3300:GASOLINA 90,SIN PRODUCTO </t>
  </si>
  <si>
    <t>LOZANO PORTA, HUGO GUILLERMO</t>
  </si>
  <si>
    <t>16741-056-181016</t>
  </si>
  <si>
    <t>SOL DE ACUARIO S.A.C.</t>
  </si>
  <si>
    <t>AV. FRAY JERONIMO JIMENEZ 1020-1040-1060 URB. SAN CARLOS</t>
  </si>
  <si>
    <t>C1:500:GASOHOL 95 PLUS C2:1000:GASOHOL 97 PLUS C3:1500:GASOHOL 90 PLUS </t>
  </si>
  <si>
    <t>C1:500:SIN PRODUCTO C2:2500:Diesel B5 S-50 </t>
  </si>
  <si>
    <t>ROSS MARY SUAREZ GAMARRA</t>
  </si>
  <si>
    <t>114730-056-230817</t>
  </si>
  <si>
    <t>ADA ELIZABETH ROMERO ARANDA</t>
  </si>
  <si>
    <t>CARRETERA HUAURA – SAYAN KM. 42</t>
  </si>
  <si>
    <t>SAYAN</t>
  </si>
  <si>
    <t>C1:2000:GASOHOL 98 PLUS </t>
  </si>
  <si>
    <t>100129-056-150216</t>
  </si>
  <si>
    <t>INVERSIONES USHNU E.I.R.L.</t>
  </si>
  <si>
    <t>CARRETERA AYACUCHO VILCASHUAMAN-CANGALLO KM 53</t>
  </si>
  <si>
    <t>AYACUCHO</t>
  </si>
  <si>
    <t>CANGALLO</t>
  </si>
  <si>
    <t>LOS MOROCHUCOS</t>
  </si>
  <si>
    <t>GAVINO LOPEZ GUTIERREZ</t>
  </si>
  <si>
    <t>8656-056-190918</t>
  </si>
  <si>
    <t>ESTACION DE SERVICIOS CHRISMAR E.I.R.L.</t>
  </si>
  <si>
    <t>AV. PERU Nº 552</t>
  </si>
  <si>
    <t>C1:4000:GASOHOL 90 PLUS C2:2000:GASOHOL 95 PLUS C3:2000:GASOHOL 84 PLUS </t>
  </si>
  <si>
    <t>CECILIA INES PENEDO ONARI</t>
  </si>
  <si>
    <t>83503-056-311018</t>
  </si>
  <si>
    <t>CESAR BELIZARIO LEON DELGADO</t>
  </si>
  <si>
    <t>ANTIGUA CARRETERA PANAMERICANA NORTE KM. 879 – CASERIO FILOQUE</t>
  </si>
  <si>
    <t>C1:3530:Diesel B5 S-50 </t>
  </si>
  <si>
    <t>C1:2700:Diesel B5 S-50 </t>
  </si>
  <si>
    <t>C1:2300:GASOHOL 84 PLUS </t>
  </si>
  <si>
    <t>C1:2300:GASOHOL 90 PLUS </t>
  </si>
  <si>
    <t>C1:1150:Diesel B5 S-50 </t>
  </si>
  <si>
    <t>NATHALY YOHANY LEÓN LOZANO</t>
  </si>
  <si>
    <t>20099-056-261118</t>
  </si>
  <si>
    <t>SERVICENTRO SUR ONDINA E.I.R.L.</t>
  </si>
  <si>
    <t>AV. CIRCUNVALACION OESTE Nº 475</t>
  </si>
  <si>
    <t>C1:5500:GASOHOL 95 PLUS </t>
  </si>
  <si>
    <t>19936-056-190918</t>
  </si>
  <si>
    <t>INVERSIONES Y NEGOCIOS HS S.A.C.</t>
  </si>
  <si>
    <t>PARCELA N° 71 B SECTOR CARLINI, EX HACIENDA BOZA LTDA. N° 15</t>
  </si>
  <si>
    <t>HUARAL</t>
  </si>
  <si>
    <t>AUCALLAMA</t>
  </si>
  <si>
    <t>C1:1000:GASOHOL 95 PLUS </t>
  </si>
  <si>
    <t>JUAN HUERTA ALVARADO</t>
  </si>
  <si>
    <t>7042-056-150418</t>
  </si>
  <si>
    <t>REPSOL COMERCIAL S.A.C</t>
  </si>
  <si>
    <t>AV. DOS DE MAYO 1340 - 1380, URB. RISSO</t>
  </si>
  <si>
    <t>C2:3000:Diesel B5 S-50 </t>
  </si>
  <si>
    <t>62680-056-051219</t>
  </si>
  <si>
    <t>CORPORACIÓN ANDINA DEL GAS PERU S.A.C.</t>
  </si>
  <si>
    <t>AV. INDUSTRIAL CAYRO MZ. A, LOTE N° 01, URB. INDUSTRIAL CAYRO</t>
  </si>
  <si>
    <t>PAUCARPATA</t>
  </si>
  <si>
    <t>C1:2607:GASOHOL 90 PLUS C2:1290:GASOHOL 95 PLUS </t>
  </si>
  <si>
    <t>C1:3951:Diesel B5 S-50 </t>
  </si>
  <si>
    <t>ALEJANDRO MARCOS CORRALES RAMOS</t>
  </si>
  <si>
    <t>142686-056-050120</t>
  </si>
  <si>
    <t>INVERSIONES M Y E S.A.C.</t>
  </si>
  <si>
    <t>LOTE 1 MZ. A-I ASOCIACION URB. POPULAR LOS CEDROS DE VILLA, SECTOR CAJAMARQUILLA, ESQUINA AV. CAJAMARQUILLA Y CALLE LOS CEDROS</t>
  </si>
  <si>
    <t>C1:2000:GASOHOL 90 PLUS C2:1500:GASOHOL 95 PLUS C3:1500:GASOHOL 98 PLUS </t>
  </si>
  <si>
    <t>ESTELA ROSSI YALI AGUILAR</t>
  </si>
  <si>
    <t>7774-056-020120</t>
  </si>
  <si>
    <t>ESTACIÓN DE SERVICIOS E INVERSIONES AMAZONAS S.A.C.</t>
  </si>
  <si>
    <t>AV. HUANCAVELICA N° 1655 ESQ. CON AV. JOSE CARLOS MARIATEGUI</t>
  </si>
  <si>
    <t>EL TAMBO</t>
  </si>
  <si>
    <t>C1:3000:GASOHOL 95 PLUS C2:3000:GASOHOL 97 PLUS </t>
  </si>
  <si>
    <t>HILDA HAYDEE PAREDES VERA</t>
  </si>
  <si>
    <t>37876-056-050820</t>
  </si>
  <si>
    <t>PRISER INVERSIONES S.A.C.</t>
  </si>
  <si>
    <t>AV. HUANCAYO N° 200, ESQUINA CON JR. BRUNO TERREROS</t>
  </si>
  <si>
    <t>JAUJA</t>
  </si>
  <si>
    <t>KATHERINE FLOR RIVAS PAHUACHO</t>
  </si>
  <si>
    <t>7995-056-230818</t>
  </si>
  <si>
    <t xml:space="preserve">REPSOL COMERCIAL SAC </t>
  </si>
  <si>
    <t>AV. MARTIRES DEL PERIODISMO N° 300-308, SAN CARLOS</t>
  </si>
  <si>
    <t>C1:6000:GASOHOL 90 PLUS C2:2000:GASOHOL 98 PLUS </t>
  </si>
  <si>
    <t>CASTILLO OVIEDO VICTOR GONZALO</t>
  </si>
  <si>
    <t>109159-056-280819</t>
  </si>
  <si>
    <t>GRIFO EL CAMPANARIO E.I.R.L.</t>
  </si>
  <si>
    <t>CARRETERA PANAMERICANA NORTE KM 574.3 CENTRO POBLADO MENOR EL MILAGRO</t>
  </si>
  <si>
    <t>C1:6600:Diesel B5 S-50 </t>
  </si>
  <si>
    <t>C1:2000:GASOHOL 98 PLUS C2:3000:GASOHOL 95 PLUS C3:3100:GASOHOL 90 PLUS </t>
  </si>
  <si>
    <t>MARINA CASTRO CHAVEZ</t>
  </si>
  <si>
    <t>7298-056-240820</t>
  </si>
  <si>
    <t>ESTACION DE SERVICIOS SANTA CECILIA S.A.</t>
  </si>
  <si>
    <t>AV. MARISCAL CASTILLA N° 2699</t>
  </si>
  <si>
    <t>C1:2900:GASOHOL 97 PLUS </t>
  </si>
  <si>
    <t>KATIA CECILIA TRAVERSO GARCIA</t>
  </si>
  <si>
    <t>100232-056-280518</t>
  </si>
  <si>
    <t>ESTACION DE SERVICIOS PACHACAMAC S.A.C.</t>
  </si>
  <si>
    <t>AV. PAUL POBLET, MZ C, SUB LOTE 1-A. HUERTO DE PACHACAMAC</t>
  </si>
  <si>
    <t>C1:2022:GASOHOL 95 PLUS </t>
  </si>
  <si>
    <t>C1:2022:GASOHOL 95 PLUS C2:2022:GASOHOL 97 PLUS </t>
  </si>
  <si>
    <t>C2:2022:GASOHOL 90 PLUS </t>
  </si>
  <si>
    <t>C1:4044:Diesel B5 S-50 </t>
  </si>
  <si>
    <t>RAUL HUMBERTO SOLIER REYNOSO</t>
  </si>
  <si>
    <t>39470-056-250719</t>
  </si>
  <si>
    <t>CORPORACION ALAN &amp; HNOS. E.I.R.L.</t>
  </si>
  <si>
    <t>CARRETERA TACNA BOCA DEL RIO, SECTOR PARA CANAL UCHUSUMA</t>
  </si>
  <si>
    <t>C1:3950:Diesel B5 S-50 </t>
  </si>
  <si>
    <t>C1:3950:GASOHOL 90 PLUS </t>
  </si>
  <si>
    <t>39356-056-270418</t>
  </si>
  <si>
    <t>MULTISERVICIOS SELVACOR S.A.C.</t>
  </si>
  <si>
    <t>AV. FRAY JERÓNIMO JIMENEZ LOTES 1,2,3 Y 4 - MZ. B SAN CARLOS-BELLAVISTA</t>
  </si>
  <si>
    <t>C1:1800:GASOHOL 84 PLUS </t>
  </si>
  <si>
    <t>C1:2500:GASOHOL 97 PLUS </t>
  </si>
  <si>
    <t>WENCESLAO JAVIER CORONEL BALTAZAR</t>
  </si>
  <si>
    <t>7682-056-240818</t>
  </si>
  <si>
    <t>CARRETERA CENTRAL KM. 8.8 - MARGEN IZQUIERDA</t>
  </si>
  <si>
    <t>SAN AGUSTIN</t>
  </si>
  <si>
    <t>62696-056-010917</t>
  </si>
  <si>
    <t>ESTACION CHINCHA SAC</t>
  </si>
  <si>
    <t>AV. CENTENARIO N° 502</t>
  </si>
  <si>
    <t>C1:2000:GASOHOL 84 PLUS C2:2000:GASOHOL 90 PLUS C3:1500:GASOHOL 95 PLUS C4:2500:DIESEL B5,Diesel B5 S-50 C5:1000:SIN PRODUCTO </t>
  </si>
  <si>
    <t>JORGE LUIS MEDINA BUKOYAMA</t>
  </si>
  <si>
    <t>42927-056-310118</t>
  </si>
  <si>
    <t>M &amp; Y SENOR DE MURUHUAY S.A.C</t>
  </si>
  <si>
    <t>VIA LOS LIBERTADORES KM 15.5</t>
  </si>
  <si>
    <t>C1:750:GASOHOL 97 PLUS C2:1250:GASOHOL 97 PLUS </t>
  </si>
  <si>
    <t>ZONIA URSULA YACHACHIN GOMEZ VDA DE MENDOZA</t>
  </si>
  <si>
    <t>144855-056-110720</t>
  </si>
  <si>
    <t>A &amp; L ADMINISTRACION S.A.C. - A &amp; L ADMIN S.A.C.</t>
  </si>
  <si>
    <t>AV. ALAMEDA N° 180</t>
  </si>
  <si>
    <t>EVA JESUS LINDO ZARATE</t>
  </si>
  <si>
    <t>88693-056-270418</t>
  </si>
  <si>
    <t>MZ. C LOTE 1 URB. LAS FLORES DEL GOLF II ETAPA</t>
  </si>
  <si>
    <t>VICTOR LARCO HERRERA</t>
  </si>
  <si>
    <t>C1:2500:GASOHOL 98 PLUS C2:5000:GASOHOL 90 PLUS </t>
  </si>
  <si>
    <t>C1:3000:GASOHOL 95 PLUS C2:5000:GASOHOL 98 PLUS </t>
  </si>
  <si>
    <t>C1:4000:DIESEL B5 C2:4000:DIESEL B5 </t>
  </si>
  <si>
    <t>3200:GLP - G </t>
  </si>
  <si>
    <t xml:space="preserve">VICTOR GONZALO CASTILLO OVIEDO </t>
  </si>
  <si>
    <t>37658-056-270220</t>
  </si>
  <si>
    <t>ESTACIÓN DE SERVICIOS SEÑOR DE OROPESA S.R.L.</t>
  </si>
  <si>
    <t>AV. LOS INCAS N° 512 BARRIO SANTA ANA</t>
  </si>
  <si>
    <t>C1:4000:GASOHOL 90 PLUS C2:2500:GASOHOL 97 PLUS </t>
  </si>
  <si>
    <t>HAIDEE ARANGO LUMBRERAS</t>
  </si>
  <si>
    <t>106321-056-020818</t>
  </si>
  <si>
    <t>GRIFOS ROYAL S.A.C.</t>
  </si>
  <si>
    <t>AV. VIA DE EVITAMIENTO SUR N° 2590 BARRIO LA COLMENA BAJA</t>
  </si>
  <si>
    <t>C1:10400:Diesel B5 S-50 </t>
  </si>
  <si>
    <t>C1:1300:GASOHOL 98 PLUS </t>
  </si>
  <si>
    <t xml:space="preserve">MARIA MAGDALENA RODRIGUEZ CRUZADO </t>
  </si>
  <si>
    <t>145148-056-160719</t>
  </si>
  <si>
    <t>CORPORACION HERNANDEZ CAMACHO S.R.L.</t>
  </si>
  <si>
    <t>MZ.63 LOTES 02, 03, 04, 05, 13, 14 Y 15 - CENTRO POBLADO SAN MARTIN DE PORRES</t>
  </si>
  <si>
    <t>SAN JOSE</t>
  </si>
  <si>
    <t>C1:5500:Diesel B5 S-50 </t>
  </si>
  <si>
    <t>C1:2000:GASOHOL 95 PLUS C2:1500:GASOHOL 97 PLUS </t>
  </si>
  <si>
    <t>CARLOS IVAN HERNANDEZ CAMACHO</t>
  </si>
  <si>
    <t>131732-056-170720</t>
  </si>
  <si>
    <t>ESTACIONES DE SERVICIOS Y GRIFOS SANTA CATALINA S.A.C.</t>
  </si>
  <si>
    <t>SECTOR MALECON RIBEREÑO, PREDIO LA CHIMBA PARCELAS 2C, 2D Y 2E</t>
  </si>
  <si>
    <t>MOQUEGUA</t>
  </si>
  <si>
    <t>MARISCAL NIETO</t>
  </si>
  <si>
    <t>C1:8000:Diesel B5 S-50 C2:2000:GASOHOL 95 PLUS </t>
  </si>
  <si>
    <t>C1:3000:GASOHOL 98 PLUS C2:4000:GASOHOL 90 PLUS C3:3000:GASOHOL 95 PLUS </t>
  </si>
  <si>
    <t>FLOR LUZ BERROSPI MANSILLA</t>
  </si>
  <si>
    <t>9472-056-050619</t>
  </si>
  <si>
    <t>SERVICELIB S.A.C.</t>
  </si>
  <si>
    <t>ESQUINA AV. LEONCIO PRADO Y GONZALO UGAS</t>
  </si>
  <si>
    <t>C1:4500:Diesel B5 S-50 C2:4500:GASOHOL 95 PLUS </t>
  </si>
  <si>
    <t>C1:4500:GASOHOL 84 PLUS C2:4500:GASOHOL 90 PLUS </t>
  </si>
  <si>
    <t>ALAN VICENTE ROJAS CASTILLO</t>
  </si>
  <si>
    <t>148163-056-091219</t>
  </si>
  <si>
    <t>INVERSIONES PETROLERAS DEL ORIENTE PERUANO S.A.C.</t>
  </si>
  <si>
    <t>AV. HABILITACION URBANA MUNICIPAL 1046</t>
  </si>
  <si>
    <t>CALLERIA</t>
  </si>
  <si>
    <t>C1:8000:DIESEL B5 </t>
  </si>
  <si>
    <t>C1:4000:DIESEL B5 C2:4000:GASOLINA 95 </t>
  </si>
  <si>
    <t>C1:3000:GASOLINA 97 C2:5000:GASOLINA 90 </t>
  </si>
  <si>
    <t>6400:GAS LICUADO DE PETROLEO </t>
  </si>
  <si>
    <t>ERROL FRANCISCO ALIAGA RIOS</t>
  </si>
  <si>
    <t>140682-056-040919</t>
  </si>
  <si>
    <t>IDONIO HECTOR QUISPE BERNAOLA</t>
  </si>
  <si>
    <t>AV. PANAMERICANA INTERSECCION CON JR. 7 DE OCTUBRE</t>
  </si>
  <si>
    <t>HUANCAN</t>
  </si>
  <si>
    <t>C1:3000:Diesel B5 S-50 C2:3000:GASOHOL 90 PLUS </t>
  </si>
  <si>
    <t>C1:3000:GASOHOL 95 PLUS C2:3000:GASOHOL 98 PLUS </t>
  </si>
  <si>
    <t>129020-056-230620</t>
  </si>
  <si>
    <t>BILCON GAS S.A.C.</t>
  </si>
  <si>
    <t xml:space="preserve">AV. ARENALES N° 900 </t>
  </si>
  <si>
    <t>HUAMANGA</t>
  </si>
  <si>
    <t>SAN JUAN BAUTISTA</t>
  </si>
  <si>
    <t>C1:7500:GASOHOL 90 PLUS </t>
  </si>
  <si>
    <t>DAVID BELLIDO ROCA</t>
  </si>
  <si>
    <t>89012-056-250920</t>
  </si>
  <si>
    <t>ESTACION LIDER E.I.R.L.</t>
  </si>
  <si>
    <t>AV. UNIÓN, MZ. 306, LOTE 11 (REFERENCIA: ESQUIINA CON AV. ARBORIZACION)</t>
  </si>
  <si>
    <t>C1:3000:DIESEL B5 </t>
  </si>
  <si>
    <t>C1:1500:GASOLINA 90 </t>
  </si>
  <si>
    <t>C1:1500:DIESEL B5 </t>
  </si>
  <si>
    <t>JUDITH HUAMÁN ROMERO</t>
  </si>
  <si>
    <t>110805-056-080916</t>
  </si>
  <si>
    <t>GAS 777 SOCIEDAD ANONIMA CERRADA</t>
  </si>
  <si>
    <t>PREDIO RUSTICO DENOMINADO POTRERO CHICO UCN 29343 Y UC 29344 SECTOR TATE</t>
  </si>
  <si>
    <t>TATE</t>
  </si>
  <si>
    <t>7000:GAS LICUADO DE PETROLEO </t>
  </si>
  <si>
    <t>IVONNE OSTOS LOAYZA DE LEON</t>
  </si>
  <si>
    <t>82148-056-200619</t>
  </si>
  <si>
    <t>INVERSIONES Y SERVICIOS JULIO III S.A.C.</t>
  </si>
  <si>
    <t>INTERSECCION AV. CENTRAL Y AV. LAS TORRES MZ.C, LOTES 8, 9, 10 Y 11, ASOC. DE VIVIENDA. SANTA MARIA DE NARANJAL.</t>
  </si>
  <si>
    <t>MARIA JULIANA MONTE ATANACIO</t>
  </si>
  <si>
    <t>128431-056-190717</t>
  </si>
  <si>
    <t xml:space="preserve">MAHANAIM HUACHO S.A.C. </t>
  </si>
  <si>
    <t>AV. PANAMERICANA NORTE N° 1900-1902-1920-1924-1930</t>
  </si>
  <si>
    <t>SANTA MARIA</t>
  </si>
  <si>
    <t>C1:4000:Diesel B5 S-50 C2:4000:GASOHOL 95 PLUS </t>
  </si>
  <si>
    <t>C1:4000:GASOHOL 84 PLUS C2:4000:GASOHOL 90 PLUS </t>
  </si>
  <si>
    <t>ELARD ESPINOZA ORIHUELA</t>
  </si>
  <si>
    <t>6891-056-290816</t>
  </si>
  <si>
    <t>COMERCIALIZADORA DE COMBUSTIBLES TRIVEÑO S.A.C.</t>
  </si>
  <si>
    <t>AV. JOSÉ MATÍAS MANZANILLA N° 621-625</t>
  </si>
  <si>
    <t>ROMULO TRIVEÑO PINTO</t>
  </si>
  <si>
    <t>91405-056-020520</t>
  </si>
  <si>
    <t>GRUPO AALPA S.A.C.</t>
  </si>
  <si>
    <t>CARRETERA PANAMERICANA NORTE S/N PREDIO CARDALITOS, COD 04766 CPM SAN PEDRO DE LOS INCAS</t>
  </si>
  <si>
    <t>TUMBES</t>
  </si>
  <si>
    <t>CORRALES</t>
  </si>
  <si>
    <t>C1:0:DIESEL B5,Diesel B5 S-50 </t>
  </si>
  <si>
    <t>C1:2000:GASOHOL 84 PLUS C2:2000:GASOHOL 90 PLUS C3:1000:GASOHOL 95 PLUS </t>
  </si>
  <si>
    <t xml:space="preserve">ANDRES MAURICIO ALVAREZ GUERRA </t>
  </si>
  <si>
    <t>7076-056-180919</t>
  </si>
  <si>
    <t>GRUPO SCHULER S.A.C.</t>
  </si>
  <si>
    <t>AV. JORGE CHAVEZ - CDRA. 1 - CASERIO SAN MARTIN</t>
  </si>
  <si>
    <t>C1:2500:GASOHOL 90 PLUS </t>
  </si>
  <si>
    <t>C1:1500:GASOHOL 84 PLUS </t>
  </si>
  <si>
    <t>7500:GAS LICUADO DE PETROLEO </t>
  </si>
  <si>
    <t>CARLOS ENRIQUE SCHULER BARINOTTO</t>
  </si>
  <si>
    <t>109082-056-300415</t>
  </si>
  <si>
    <t>PETROMASS S.A.C.</t>
  </si>
  <si>
    <t>CARRETERA CENTRAL CARAZ - HUARAZ S/N - URB. SAN MIGUEL CHICO</t>
  </si>
  <si>
    <t>HUAYLAS</t>
  </si>
  <si>
    <t>CARAZ</t>
  </si>
  <si>
    <t>C1:5000:GASOHOL 90 PLUS C2:5000:GASOHOL 95 PLUS </t>
  </si>
  <si>
    <t>EDWARD SAUL HUAMAN PAJUELO</t>
  </si>
  <si>
    <t>124260-056-270218</t>
  </si>
  <si>
    <t xml:space="preserve">SHIN S.A.C. </t>
  </si>
  <si>
    <t xml:space="preserve">AV. SAN MARTIN DE PORRAS MZ CL 1 LOTE 18-19 CANTO GRANDE </t>
  </si>
  <si>
    <t>C1:4000:GASOHOL 90 PLUS C2:2000:Diesel B5 S-50 C3:2000:GASOHOL 95 PLUS </t>
  </si>
  <si>
    <t>LUIS GUILLERMO ALDAVE ZARATE</t>
  </si>
  <si>
    <t>40437-056-110813</t>
  </si>
  <si>
    <t>GRUPO ALMONACID S.A.C.</t>
  </si>
  <si>
    <t>AV. LOS PROCERES MZ . NN-2, LOTES 1-6 URB. PUERTA DE PRO 2DA ETAPA</t>
  </si>
  <si>
    <t>LOS OLIVOS</t>
  </si>
  <si>
    <t>C1:1950:GASOHOL 95 PLUS C2:1950:GASOHOL 98 PLUS </t>
  </si>
  <si>
    <t>C1:5875:Diesel B5 S-50 </t>
  </si>
  <si>
    <t>C1:3910:GASOHOL 90 PLUS </t>
  </si>
  <si>
    <t>BONY ISOLINA ALMONACID MORENO</t>
  </si>
  <si>
    <t>15723-056-170320</t>
  </si>
  <si>
    <t>ESTACION DE SERVICIO NEVADO S.R.L.</t>
  </si>
  <si>
    <t xml:space="preserve">AV. MÁRTIRES DE UCHURACCAY Y ESQUINA CON FERMIN MALAGA </t>
  </si>
  <si>
    <t>JAMES JACK ECHEVARRIA NEYRA</t>
  </si>
  <si>
    <t>15400-056-151219</t>
  </si>
  <si>
    <t>COMERCIALIZADORA DE COMBUSTIBLES PALPA S.A.C.</t>
  </si>
  <si>
    <t>AV. GRAU N° 278</t>
  </si>
  <si>
    <t>PALPA</t>
  </si>
  <si>
    <t>C1:4000:GASOHOL 84 PLUS C2:4000:SIN PRODUCTO </t>
  </si>
  <si>
    <t>7709-056-220817</t>
  </si>
  <si>
    <t>VILMA ROSA MELENDEZ PELAEZ</t>
  </si>
  <si>
    <t>JR. SAN CARLOS N° 1881 INTERSECCION CON AV. ANCASH</t>
  </si>
  <si>
    <t>C1:4000:Diesel B5 S-50 C2:4000:GASOHOL 90 PLUS C3:4000:GASOHOL 97 PLUS </t>
  </si>
  <si>
    <t>1500:GAS LICUADO DE PETROLEO </t>
  </si>
  <si>
    <t>34968-056-220616</t>
  </si>
  <si>
    <t>INVERSIONES SOL DE HUAYCAN S.A.</t>
  </si>
  <si>
    <t>CARRETERA CENTRAL KM. 52-600, SANTA CRUZ DE COCACHACRA</t>
  </si>
  <si>
    <t>SANTA CRUZ DE COCACHACRA</t>
  </si>
  <si>
    <t>C1:4000:Diesel B5 S-50 C2:2000:GASOHOL 90 PLUS </t>
  </si>
  <si>
    <t>DELFIN LORENZO GAMEZ SANTILLAN</t>
  </si>
  <si>
    <t>14725-056-160817</t>
  </si>
  <si>
    <t>K.Y.T. S.A.C</t>
  </si>
  <si>
    <t>AV. PERU N° 3207 ANTES ESQUINA DE CAMANA CON AV. PERU</t>
  </si>
  <si>
    <t>MIGUEL ANGEL NAGAMINE HIGA</t>
  </si>
  <si>
    <t>131174-056-221019</t>
  </si>
  <si>
    <t>ADMINISTRACION DE GRIFOS L&amp;L ONE S.A.C.</t>
  </si>
  <si>
    <t>MZ 1-B LT 02, SUB PARCELA 1-E ( 3RA ETAPA ) NUEVA URB. TORRE BLANCA</t>
  </si>
  <si>
    <t>CARABAYLLO</t>
  </si>
  <si>
    <t>C1:4000:GASOHOL 90 PLUS C2:3000:GASOHOL 95 PLUS </t>
  </si>
  <si>
    <t>C3:2000:GASOHOL 97 PLUS </t>
  </si>
  <si>
    <t>EDWIN MIGUEL PINEDO CORDOVA</t>
  </si>
  <si>
    <t>133282-056-110719</t>
  </si>
  <si>
    <t>IDROGAS S.R.L.</t>
  </si>
  <si>
    <t>MZ. I LOTE 1, 40 Y 41 BARRIO 3 CENTRO POBLADO ALTO TRUJILLO</t>
  </si>
  <si>
    <t>C1:2900:Diesel B5 S-50 </t>
  </si>
  <si>
    <t>C1:1400:Diesel B5 S-50 C2:1400:GASOHOL 90 PLUS </t>
  </si>
  <si>
    <t xml:space="preserve">DINA MILKA AVILA VASQUEZ </t>
  </si>
  <si>
    <t>146354-056-190520</t>
  </si>
  <si>
    <t>E.E.S.S. ONERGY S.A.C.</t>
  </si>
  <si>
    <t>MZA. A, LOTE 15, 16, 17, 18, 29, 30, 31 Y 32 ZONA INDUSTRIAL</t>
  </si>
  <si>
    <t>C1:2630:GASOHOL 84 PLUS </t>
  </si>
  <si>
    <t>C1:5700:GASOHOL 90 PLUS </t>
  </si>
  <si>
    <t xml:space="preserve">GOICOCHEA MECHATO WILLIAM DAVID </t>
  </si>
  <si>
    <t>147364-056-191119</t>
  </si>
  <si>
    <t>PRODUCTOS DEL VRAE E.I.R.L.</t>
  </si>
  <si>
    <t>AV. EVITAMIENTO N° 500</t>
  </si>
  <si>
    <t>JESUS NAZARENO</t>
  </si>
  <si>
    <t>C1:5000:GASOHOL 95 PLUS C2:5000:GASOHOL 97 PLUS </t>
  </si>
  <si>
    <t>MIRANDA SULCA PASTOR AUREO</t>
  </si>
  <si>
    <t>99534-056-290415</t>
  </si>
  <si>
    <t>MOVILGAS S.R.L.</t>
  </si>
  <si>
    <t>AUTOPISTA RAMIRO PRIALE KM. 6.2 LOTE 2-A - CENTRO POBLADO SANTA MARIA DE HUACHIPA</t>
  </si>
  <si>
    <t>HECTOR TITO VILLAR FIERRO</t>
  </si>
  <si>
    <t>97272-056-250914</t>
  </si>
  <si>
    <t>INVERSIONES HANAN WANKA S.A.C.</t>
  </si>
  <si>
    <t>AV. ANDRES AVELINO CACERES DORREGARAY S/N</t>
  </si>
  <si>
    <t>C1:2300:GASOHOL 84 PLUS C2:2300:GASOHOL 90 PLUS C3:2000:GASOHOL 97 PLUS </t>
  </si>
  <si>
    <t>MARIA MAGDALENA CORILLA MELGAR</t>
  </si>
  <si>
    <t>17952-056-210119</t>
  </si>
  <si>
    <t>CARRETERA PANAMERICANA SUR KM. 25.62</t>
  </si>
  <si>
    <t>LURIN</t>
  </si>
  <si>
    <t>C1:5000:Diesel B5 S-50 C2:5000:Diesel B5 S-50 </t>
  </si>
  <si>
    <t>C1:2579:GASOHOL 95 PLUS C2:3347:GASOHOL 90 PLUS </t>
  </si>
  <si>
    <t>C1:2963:GASOHOL 95 PLUS C2:2963:GASOHOL 97 PLUS </t>
  </si>
  <si>
    <t>105845-056-210518</t>
  </si>
  <si>
    <t>JAIME MELECIO TRINIDAD ZAMBRANO</t>
  </si>
  <si>
    <t>CARRETERA HUARAZ – CARAZ KM 610 + 300 – SECTOR YANAMARCA</t>
  </si>
  <si>
    <t>C1:1500:GASOHOL 97 PLUS C2:2000:GASOHOL 90 PLUS C3:1500:GASOHOL 95 PLUS </t>
  </si>
  <si>
    <t>92272-056-241218</t>
  </si>
  <si>
    <t>MASTER GAS GNV GLP E.I.R.L.</t>
  </si>
  <si>
    <t xml:space="preserve">AV. MEXICO N° 380-390, ESQUINA CON JR. LOS JACINTOS </t>
  </si>
  <si>
    <t>C1:4000:GASOHOL 95 PLUS C2:2000:Diesel B5 S-50 </t>
  </si>
  <si>
    <t>C1:4000:GASOHOL 90 PLUS C2:2000:GASOHOL 97 PLUS </t>
  </si>
  <si>
    <t>JUAN CARLOS PORTUGAL DE LA TORRE</t>
  </si>
  <si>
    <t>9446-056-090919</t>
  </si>
  <si>
    <t>ASIA GRIFOS Y SERVICIOS GENERALES S.A.C.</t>
  </si>
  <si>
    <t>CARRETERA PANAMERICANA SUR KM. 97.5</t>
  </si>
  <si>
    <t>CAÑETE</t>
  </si>
  <si>
    <t>ASIA</t>
  </si>
  <si>
    <t>C1:3000:GASOHOL 95 PLUS C2:3000:GASOHOL 95 PLUS </t>
  </si>
  <si>
    <t>C1:3000:GASOHOL 97 PLUS </t>
  </si>
  <si>
    <t>C1:500:GASOHOL 84 PLUS </t>
  </si>
  <si>
    <t>MARÍA ERICA ELIZABETH CANITROT RODRIGUEZ</t>
  </si>
  <si>
    <t>7467-056-100820</t>
  </si>
  <si>
    <t>COESTI S.A.</t>
  </si>
  <si>
    <t>AUTOPISTA PANAMERICANA SUR KM. 63.5</t>
  </si>
  <si>
    <t>CHILCA</t>
  </si>
  <si>
    <t>3700:GAS LICUADO DE PETROLEO </t>
  </si>
  <si>
    <t>107602-056-240216</t>
  </si>
  <si>
    <t>GRUPO E &amp; E S.A.C.</t>
  </si>
  <si>
    <t>LOTES 7 Y 8 DE PUNCHAUCA, CAUDIVILLA Y ANEXO CONCON Y HUACOY ( AV. TUPAC AMARU KM. 22.50)</t>
  </si>
  <si>
    <t>C1:8561:Diesel B5 S-50,GASOHOL 84 PLUS C2:2612:GASOHOL 90 PLUS </t>
  </si>
  <si>
    <t>C1:2612:GASOHOL 95 PLUS C2:2612:GASOHOL 98 PLUS </t>
  </si>
  <si>
    <t>LESLIE CANDY ESPINOZA EGOAVIL</t>
  </si>
  <si>
    <t>143131-056-120919</t>
  </si>
  <si>
    <t>EMPRESA TRANSPORTES SALAVERRY EXPRESS SA</t>
  </si>
  <si>
    <t>MZ. A LOTE 1 SECTOR ASENTAMIENTO HUMANO ALTO TRUJILLO BARRIO 3A</t>
  </si>
  <si>
    <t>C1:4540:Diesel B5 S-50 </t>
  </si>
  <si>
    <t>LUIS ZARATE DIAZ</t>
  </si>
  <si>
    <t>9105-056-270319</t>
  </si>
  <si>
    <t>INVERSIONES PAITITI S.R.L.</t>
  </si>
  <si>
    <t>AV. MARISCAL CACERES S/N</t>
  </si>
  <si>
    <t>ILO</t>
  </si>
  <si>
    <t>C1:3650:GASOHOL 95 PLUS </t>
  </si>
  <si>
    <t>C1:4100:GASOHOL 90 PLUS </t>
  </si>
  <si>
    <t>C1:5050:Diesel B5 S-50 </t>
  </si>
  <si>
    <t>C1:1850:GASOHOL 98 PLUS </t>
  </si>
  <si>
    <t>AMERICO ROMAN LOPEZ</t>
  </si>
  <si>
    <t>19920-056-150816</t>
  </si>
  <si>
    <t>SEMAR S.A.C.</t>
  </si>
  <si>
    <t>ESQUINA AV. RICARDO PALMA Y AV. AMERICA SUR, MZ. F-3, LT. 08, URB. PALERMO</t>
  </si>
  <si>
    <t>C1:4000:DIESEL B5 C2:4000:DIESEL B5,Diesel B5 S-50 </t>
  </si>
  <si>
    <t>3300:GAS LICUADO DE PETROLEO </t>
  </si>
  <si>
    <t>SEGUNDO FORTUNATO RUIZ VARAS</t>
  </si>
  <si>
    <t>39945-056-121015</t>
  </si>
  <si>
    <t>ESTACIONES DE SERVICIO GASOLINAS DE AMERICA S.A.C.</t>
  </si>
  <si>
    <t>JIRON MANUEL UBALDE N° 1103</t>
  </si>
  <si>
    <t>C1:3100:GASOHOL 95 PLUS </t>
  </si>
  <si>
    <t>ALEX GRIMALDO AQUINO TAIPE</t>
  </si>
  <si>
    <t>8849-056-061119</t>
  </si>
  <si>
    <t>SAN SEBASTIAN GAS STATION E.I.R.L.</t>
  </si>
  <si>
    <t>CARRETERA CHICLAYO - POMALCA KM 2.5</t>
  </si>
  <si>
    <t>C1:2500:GASOHOL 95 PLUS </t>
  </si>
  <si>
    <t>C1:4500:GASOHOL 84 PLUS </t>
  </si>
  <si>
    <t>CESAR AUGUSTO LOPEZ GODEAU</t>
  </si>
  <si>
    <t>131785-056-200917</t>
  </si>
  <si>
    <t>LUISA CORDOVA MURRIETA VDA. DE BAZAN</t>
  </si>
  <si>
    <t xml:space="preserve">CARRETERA CENTRAL HUÁNUCO-TINGO MARÍA KM. 11+800 </t>
  </si>
  <si>
    <t>SANTA MARIA DEL VALLE</t>
  </si>
  <si>
    <t>8851-056-150819</t>
  </si>
  <si>
    <t>ESTACION DE SERVICIOS R &amp; A S.A.C.</t>
  </si>
  <si>
    <t>AV. FINLANDIA S/N</t>
  </si>
  <si>
    <t>C1:2000:Diesel B5 S-50 </t>
  </si>
  <si>
    <t>RAUL YORDANO FLORES HUAMANI</t>
  </si>
  <si>
    <t>7834-056-040816</t>
  </si>
  <si>
    <t>ESTACIONES DE SERVICIO ORTIZ S.A.C.</t>
  </si>
  <si>
    <t>AV. RAYMONDI N° 540</t>
  </si>
  <si>
    <t>HUARAZ</t>
  </si>
  <si>
    <t>C1:6000:DIESEL B5,Diesel B5 S-50 </t>
  </si>
  <si>
    <t>C1:4500:GASOHOL 98 PLUS </t>
  </si>
  <si>
    <t>C1:3000:DIESEL B5,GASOHOL 95 PLUS C2:3000:GASOHOL 95 PLUS </t>
  </si>
  <si>
    <t xml:space="preserve">MARCO AUGUSTO ORTIZ RODRIGUEZ </t>
  </si>
  <si>
    <t>121095-056-041018</t>
  </si>
  <si>
    <t>SERVICENTRO KEVIN E.I.R.L.</t>
  </si>
  <si>
    <t>LOTE PURUPAMPA - CARRETERA PANAO - CHAGLLA</t>
  </si>
  <si>
    <t>PACHITEA</t>
  </si>
  <si>
    <t>PANAO</t>
  </si>
  <si>
    <t>C1:4149:GASOHOL 90 PLUS C2:2349:GASOHOL 97 PLUS C3:4149:Diesel B5 S-50 </t>
  </si>
  <si>
    <t>KEVIN ARNOLD JARA ROMERO</t>
  </si>
  <si>
    <t>9576-056-151111</t>
  </si>
  <si>
    <t>ESTACION DE SERVICIOS PASO DE LOS ANDES S.A.C.</t>
  </si>
  <si>
    <t>AV. ARGENTINA N° 333 Y JR. HUASCAR N° 102 URB. CHACARITAS</t>
  </si>
  <si>
    <t>C1:9594:Diesel B5 S-50 C2:2997:SIN PRODUCTO </t>
  </si>
  <si>
    <t>C1:5586:GASOHOL 84 PLUS C2:2994:GASOHOL 90 PLUS C3:1998:GASOHOL 95 PLUS C4:1998:GASOHOL 97 PLUS </t>
  </si>
  <si>
    <t>C1:3634:Diesel B5 S-50 </t>
  </si>
  <si>
    <t>C1:7320:Diesel B5 S-50 </t>
  </si>
  <si>
    <t>19968-056-130716</t>
  </si>
  <si>
    <t>JOSCHAM S.A.C.</t>
  </si>
  <si>
    <t>AV. LOS PROCERES Nº 199 - 199A, ESQUINA CON JR. GAMARRA</t>
  </si>
  <si>
    <t>RIMAC</t>
  </si>
  <si>
    <t>C1:1536:Diesel B5 S-50 C2:1536:GASOHOL 90 PLUS C3:1536:GASOHOL 90 PLUS </t>
  </si>
  <si>
    <t>C1:2085:GASOHOL 95 PLUS C2:4059:Diesel B5 S-50 </t>
  </si>
  <si>
    <t>JOSE BERNARDO HERVACIO ZANABRIA</t>
  </si>
  <si>
    <t>149204-056-061020</t>
  </si>
  <si>
    <t xml:space="preserve">TARAPACA S.A.C. </t>
  </si>
  <si>
    <t>AV. TARAPACÁ N° 1117, PP.JJ. UNIÓN EDIFICADORES MISTI</t>
  </si>
  <si>
    <t>C1:4000:Diesel B5 S-50 C2:3000:GASOHOL 84 PLUS C3:3000:GASOHOL 95 PLUS </t>
  </si>
  <si>
    <t xml:space="preserve">JOSE CARLOS CAMACHO MEDINA </t>
  </si>
  <si>
    <t>8380-056-271218</t>
  </si>
  <si>
    <t>ESTACIONES GUAL S.A.C.</t>
  </si>
  <si>
    <t>AV. GUARDIA CIVIL, MZ. B, LOTES 15, 16 Y 17, URB. GUARDIA CIVIL, SEGUNDA FASE, III ETAPA</t>
  </si>
  <si>
    <t>ELVIRA MERCEDES ALDECOA BEDOYA</t>
  </si>
  <si>
    <t>19888-056-080817</t>
  </si>
  <si>
    <t>INVERSIONES CP SERVICIOS GENERALES S.A.C.</t>
  </si>
  <si>
    <t>ESQUINA CALLE BOM BOM CORONADO Y CALLE LUIS MASSARO</t>
  </si>
  <si>
    <t>C1:5000:Diesel B5 S-50 C2:2000:SIN PRODUCTO </t>
  </si>
  <si>
    <t>C1:3000:GASOHOL 84 PLUS C2:3000:GASOHOL 90 PLUS C3:3000:SIN PRODUCTO </t>
  </si>
  <si>
    <t>LISBETH CLEMENTE SULLCA</t>
  </si>
  <si>
    <t>150208-056-010820</t>
  </si>
  <si>
    <t>GRIFO RODRIGO VG E.I.R.L.</t>
  </si>
  <si>
    <t>PROLONGACIÓN AV LAS AMERICAS S/N CUADRA 10</t>
  </si>
  <si>
    <t>ANDER VASQUEZ ROJAS</t>
  </si>
  <si>
    <t>116882-056-091117</t>
  </si>
  <si>
    <t>LA CENTRAL ESTACIONES Y SERVICIOS S.A.C.</t>
  </si>
  <si>
    <t>MZ. K LOTE 3, H.U.P. LAS FLORES - ZONA CENTRO SUR, AV. AGRARIA ESQUINA CON CALLE 1</t>
  </si>
  <si>
    <t xml:space="preserve">CARLOS DIAZ GARCIA </t>
  </si>
  <si>
    <t>18305-056-220819</t>
  </si>
  <si>
    <t>COMBUSTIBLES Y ENERGIAS DEL SUR E.I.R.L.</t>
  </si>
  <si>
    <t>PARQUE INDUSTRIAL MZ. J, LT 19, 20 Y 21</t>
  </si>
  <si>
    <t>C1:4800:Diesel B5 S-50 </t>
  </si>
  <si>
    <t>DELIA EDITH MAQUERA CACERES</t>
  </si>
  <si>
    <t>34596-056-260720</t>
  </si>
  <si>
    <t>ESTACION DE SERVICIOS CRYSMAR E.I.R.L.</t>
  </si>
  <si>
    <t>AVENIDA CAJAMARCA S/N</t>
  </si>
  <si>
    <t>CELENDIN</t>
  </si>
  <si>
    <t>C1:3211:GASOHOL 95 PLUS </t>
  </si>
  <si>
    <t>ORESTES VICTORIANO ARAUJO ARAUJO</t>
  </si>
  <si>
    <t>18558-056-111116</t>
  </si>
  <si>
    <t>GRIFO SAN IGNACIO S.A.C.</t>
  </si>
  <si>
    <t>AV. ALFREDO MENDIOLA S/N, ALTURA KM. 21.5 CARRETERA PANAMERICANA NORTE</t>
  </si>
  <si>
    <t>C1:9000:Diesel B5 S-50 C2:3000:GASOHOL 95 PLUS </t>
  </si>
  <si>
    <t>C1:9000:Diesel B5 S-50 C2:3000:GASOHOL 90 PLUS </t>
  </si>
  <si>
    <t>CESAR AUGUSTO VALDIVIA OCAMPO</t>
  </si>
  <si>
    <t>7944-056-091019</t>
  </si>
  <si>
    <t>GAS DAYTONA S.R.L.</t>
  </si>
  <si>
    <t>AV. VICTOR RAUL HAYA DE LA TORRE MZ. C LOTES. 5 Y 6 - PP.JJ. 1RO DE MAYO</t>
  </si>
  <si>
    <t>C1:7000:GASOHOL 84 PLUS </t>
  </si>
  <si>
    <t>C1:7000:GASOHOL 90 PLUS </t>
  </si>
  <si>
    <t>C1:2500:GASOHOL 95 PLUS C2:2500:GASOHOL 97 PLUS </t>
  </si>
  <si>
    <t>PEDRO MARCIAL CISNEROS ARAMBURU</t>
  </si>
  <si>
    <t>112332-056-150520</t>
  </si>
  <si>
    <t xml:space="preserve">GRIFO RISO COMPANY S.A.C. </t>
  </si>
  <si>
    <t>CARRETERA FERNANDO BELAUNDE TERRY S/N</t>
  </si>
  <si>
    <t>MARISCAL CACERES</t>
  </si>
  <si>
    <t>JUANJUI</t>
  </si>
  <si>
    <t>C1:9330:Diesel B5 S-50 </t>
  </si>
  <si>
    <t>C1:9330:GASOLINA 90 </t>
  </si>
  <si>
    <t>C1:9330:GASOLINA 95 </t>
  </si>
  <si>
    <t>C1:9330:GASOLINA 84 </t>
  </si>
  <si>
    <t>JUAN RICARDO DEL CASTILLO ROJAS</t>
  </si>
  <si>
    <t>14556-056-120818</t>
  </si>
  <si>
    <t>AV. EUFEMIO LORA Y LORA ESQUINA CON CALLE PIURA URB. LA PRIMAVERA</t>
  </si>
  <si>
    <t>18180-056-140220</t>
  </si>
  <si>
    <t xml:space="preserve">ESQUINA PROLONGACION JULIO SUMAR Y JR. SANTA ISABEL N° 2100 </t>
  </si>
  <si>
    <t>C1:4000:GASOHOL 95 PLUS C2:4000:GASOHOL 97 PLUS </t>
  </si>
  <si>
    <t>107917-056-130916</t>
  </si>
  <si>
    <t>ESTACION DE SERVICIOS BOLOGNESI E.I.R.L.</t>
  </si>
  <si>
    <t>AV. PROLONGACION BOLOGNESI S/N - PREDIO LA ESPERANZA</t>
  </si>
  <si>
    <t>C1:1700:GASOHOL 95 PLUS </t>
  </si>
  <si>
    <t>C1:2200:GASOHOL 90 PLUS </t>
  </si>
  <si>
    <t>C1:2200:GASOHOL 84 PLUS </t>
  </si>
  <si>
    <t>C1:4500:DIESEL B5,Diesel B5 S-50 </t>
  </si>
  <si>
    <t>WALTER ANDRES ROCA ROMERO</t>
  </si>
  <si>
    <t>17945-056-100920</t>
  </si>
  <si>
    <t>ESTACION DE SERVICIOS NUEVO PROGRESO S.A.C.</t>
  </si>
  <si>
    <t xml:space="preserve">AV. PACHACUTEC CON AVENIDA Nº 4. LT. 2, 3, 4, 5 - AA.HH. NUEVO PROGRESO </t>
  </si>
  <si>
    <t>VILLA MARIA DEL TRIUNFO</t>
  </si>
  <si>
    <t>C1:6000:Diesel B5 S-50 C2:2000:GASOHOL 95 PLUS </t>
  </si>
  <si>
    <t>C1:4500:GASOHOL 97 PLUS C2:3500:GASOHOL 90 PLUS </t>
  </si>
  <si>
    <t>TAC CHUN KUAN</t>
  </si>
  <si>
    <t>20123-056-091018</t>
  </si>
  <si>
    <t>J.R.C. COMBUSTIBLES E.I.R.L.</t>
  </si>
  <si>
    <t>CARRETERA PACASMAYO-CAJAMARCA KM. 8.4 SECTOR MARISCAL CASTILLA</t>
  </si>
  <si>
    <t>JOSE ARNALDO RAMIREZ CASTAÑEDA</t>
  </si>
  <si>
    <t>8838-056-251020</t>
  </si>
  <si>
    <t>ACOSTA COMBUSTIBLES S.A.C.</t>
  </si>
  <si>
    <t>AV. PROLONGACION SANTA N° 1720, URB. LOS GRANADOS</t>
  </si>
  <si>
    <t>C1:6000:GASOHOL 97 PLUS </t>
  </si>
  <si>
    <t>C1:2600:GASOHOL 90 PLUS </t>
  </si>
  <si>
    <t>JORGE LUIS VARGAS DAVILA</t>
  </si>
  <si>
    <t>7072-056-210617</t>
  </si>
  <si>
    <t>CORPORACION SANTA INES E.I.R.L.</t>
  </si>
  <si>
    <t xml:space="preserve">AV.PACHECO Nº 669 - 677 </t>
  </si>
  <si>
    <t>C1:3000:GASOHOL 97 PLUS C2:2000:GASOHOL 95 PLUS </t>
  </si>
  <si>
    <t>HAYDEE LIDIA MANDUJANO DE COLLACHAGUA</t>
  </si>
  <si>
    <t>146087-056-180919</t>
  </si>
  <si>
    <t>SUB LOTE 2B-1 DEL SUB LOTE 2 B DEL SUBLOTE 2 - CARRETERA PANAMERICANA NORTE N° 1651</t>
  </si>
  <si>
    <t>C1:6000:GASOHOL 90 PLUS C2:2000:GASOHOL 95 PLUS C3:2000:GASOHOL 97 PLUS </t>
  </si>
  <si>
    <t>5500:GAS LICUADO DE PETROLEO </t>
  </si>
  <si>
    <t>44371-056-230619</t>
  </si>
  <si>
    <t>GRUPO SURGAS E.I.R.L.</t>
  </si>
  <si>
    <t>ASOCIACION DE VIVIENDA EL TERMINAL - MZ. B LOTES 14, 15, 16</t>
  </si>
  <si>
    <t>C1:4800:SIN PRODUCTO </t>
  </si>
  <si>
    <t>C1:2400:SIN PRODUCTO </t>
  </si>
  <si>
    <t>C1:6280:Diesel B5 S-50 </t>
  </si>
  <si>
    <t>C1:2190:GASOHOL 90 PLUS C2:1990:GASOHOL 90 PLUS C3:2200:GASOHOL 95 PLUS </t>
  </si>
  <si>
    <t>EDWIN ROBERTO MENDOZA QUISPE</t>
  </si>
  <si>
    <t>9232-056-140520</t>
  </si>
  <si>
    <t>ESTACION DE SERVICIOS RETA S.A.C.</t>
  </si>
  <si>
    <t>ESQUINA AV. CIRCUNVALACION Y CESAR VALLEJO URB. SAN JOSE</t>
  </si>
  <si>
    <t>C1:1550:GASOHOL 95 PLUS </t>
  </si>
  <si>
    <t>C1:3450:GASOHOL 84 PLUS </t>
  </si>
  <si>
    <t>TALLEDO BENITES TOMAS ALEJANDRO</t>
  </si>
  <si>
    <t>14509-056-240719</t>
  </si>
  <si>
    <t>BENYKENT S.A.C.</t>
  </si>
  <si>
    <t>AV. FAUSTINO SÁNCHEZ CARRIÓN 360 - 364</t>
  </si>
  <si>
    <t>C1:3300:GASOHOL 84 PLUS </t>
  </si>
  <si>
    <t>C1:3300:Diesel B5 S-50 C2:3300:GASOHOL 95 PLUS </t>
  </si>
  <si>
    <t xml:space="preserve">FREDY MARTIN LEIVA LAZARO </t>
  </si>
  <si>
    <t>35104-056-101016</t>
  </si>
  <si>
    <t>ESTACION DE SERVICIOS GRIFO SANTA EULALIA S.R.L.</t>
  </si>
  <si>
    <t>AVENIDA CENTENARIO S/N CUADRA 18, URBANIZACION CASCAPAMPA</t>
  </si>
  <si>
    <t>C1:5300:GASOHOL 95 PLUS </t>
  </si>
  <si>
    <t>C1:4500:GASOHOL 97 PLUS </t>
  </si>
  <si>
    <t>C1:12665:DIESEL B5,Diesel B5 S-50 </t>
  </si>
  <si>
    <t>C1:1295:DIESEL B5,Diesel B5 S-50 </t>
  </si>
  <si>
    <t>C1:1626:GASOHOL 84 PLUS </t>
  </si>
  <si>
    <t>JULIO VICTOR HUERTA TORRE</t>
  </si>
  <si>
    <t>87150-056-010917</t>
  </si>
  <si>
    <t>SERVICENTRO SAPORO SAC</t>
  </si>
  <si>
    <t>CARRETERA PANAMERICANA SUR KM 199 SUB LOTE J SECTOR PASO DE ACEQUIA GRANDE - TOMAS DE CALAS</t>
  </si>
  <si>
    <t>C1:1000:DIESEL B5,GASOHOL 95 PLUS C2:3000:Diesel B5 S-50 </t>
  </si>
  <si>
    <t>C1:2000:GASOHOL 84 PLUS C2:2000:GASOHOL 90 PLUS </t>
  </si>
  <si>
    <t>MARTIN MAXIMILIANO MEDINA KUBOYAMA</t>
  </si>
  <si>
    <t>18850-056-310512</t>
  </si>
  <si>
    <t>ESQUINA AV. CESAR VALLEJO CON JR. LOS DIAMANTES</t>
  </si>
  <si>
    <t>JESSENIA FELICITA JACINTO MENDOZA</t>
  </si>
  <si>
    <t>149143-056-250620</t>
  </si>
  <si>
    <t>ESTACION DE SERVICIOS FATIMA E.I.R.L.</t>
  </si>
  <si>
    <t>AV. PROLONGACION FATIMA N° 1351 - 1359</t>
  </si>
  <si>
    <t>C1:3600:GASOHOL 95 PLUS </t>
  </si>
  <si>
    <t>C1:3600:GASOHOL 97 PLUS </t>
  </si>
  <si>
    <t>3750:GAS LICUADO DE PETROLEO </t>
  </si>
  <si>
    <t>NESTOR DOMINGUEZ MENDIETA</t>
  </si>
  <si>
    <t>6906-056-301219</t>
  </si>
  <si>
    <t>ESTACION DE SERVICIOS ESTEL S.A.C.</t>
  </si>
  <si>
    <t>AV. UNIVERSITARIA NORTE NRO. 5771 - 5779, URB. SANTA ISOLINA</t>
  </si>
  <si>
    <t>COMAS</t>
  </si>
  <si>
    <t>GILBER EDIWEN AZAÑERO NATIVIDAD</t>
  </si>
  <si>
    <t>19948-056-310716</t>
  </si>
  <si>
    <t>AV. PRIMERO DE MAYO N° 3090</t>
  </si>
  <si>
    <t>C1:9000:GASOHOL 90 PLUS C2:3000:GASOHOL 98 PLUS </t>
  </si>
  <si>
    <t>9531-056-090618</t>
  </si>
  <si>
    <t>AV. CORONEL NESTOR GAMBETTA N° 10548</t>
  </si>
  <si>
    <t>20097-056-100419</t>
  </si>
  <si>
    <t>ESTACION DE SERVICIOS ELISUR S.C.R.LTDA.</t>
  </si>
  <si>
    <t>AV. JORGE BASADRE GROHMANN Nº 560 - PAGO COLLANA</t>
  </si>
  <si>
    <t>C1:3300:GASOHOL 95 PLUS </t>
  </si>
  <si>
    <t>ELIZABETH MARLENE MAMANI TENORIO</t>
  </si>
  <si>
    <t>19994-056-300120</t>
  </si>
  <si>
    <t>HYTEK AUTOGAS S.A.C.</t>
  </si>
  <si>
    <t>MZ. C, LOTE 1, GRUPO RESIDENCIAL N° 3, PUEBLO JOVEN NUEVO PROGRESO (AV. PACHACUTEC N° 8035)</t>
  </si>
  <si>
    <t>C1:3008:GASOHOL 95 PLUS C2:3008:GASOHOL 90 PLUS </t>
  </si>
  <si>
    <t>C1:6015:Diesel B5 S-50 </t>
  </si>
  <si>
    <t>C1:1500:GASOHOL 97 PLUS C2:1500:GASOHOL 90 PLUS </t>
  </si>
  <si>
    <t>ADAUTO LUCIO ARZAPALO CAMPOS</t>
  </si>
  <si>
    <t>104354-056-200120</t>
  </si>
  <si>
    <t>GRUPO H SAN JUAN S.A.C.</t>
  </si>
  <si>
    <t>AV. VICTOR RAUL HAYA DE LA TORRE 3701 - AAHH SAN JUAN</t>
  </si>
  <si>
    <t>C1:1500:GASOHOL 97 PLUS C2:1500:GASOHOL 95 PLUS </t>
  </si>
  <si>
    <t>MELCIADES HUALCAS AGUIRRE</t>
  </si>
  <si>
    <t>126897-056-140817</t>
  </si>
  <si>
    <t>GRUPO VISTA ALEGRE S.A.C</t>
  </si>
  <si>
    <t>CARRETERA PANAMERICANA NORTE KM 718 + 956.5 C.P. PACANGUILLA</t>
  </si>
  <si>
    <t>CHEPEN</t>
  </si>
  <si>
    <t>PACANGA</t>
  </si>
  <si>
    <t>C1:3000:GASOHOL 84 PLUS </t>
  </si>
  <si>
    <t>EDWIN VARGAS INFANTE</t>
  </si>
  <si>
    <t>16678-056-200717</t>
  </si>
  <si>
    <t>AV. HIPOLITO UNANUE N° 990. ESQUINA CON LA CALLE ENRIQUE QUIJANO</t>
  </si>
  <si>
    <t>13930-056-060519</t>
  </si>
  <si>
    <t xml:space="preserve">AV. ANGAMOS ESTE N° 1159 (ANTES: AV. PRIMAVERA N° 1159), URB. VALLE HERMOSO DE MONTERRICO </t>
  </si>
  <si>
    <t>SANTIAGO DE SURCO</t>
  </si>
  <si>
    <t>CESAR DOMINGO CRUCES LIBERT</t>
  </si>
  <si>
    <t>19959-056-180416</t>
  </si>
  <si>
    <t>AV. 2 DE OCTUBRE MZ. LL-1 LOTES 15 -18</t>
  </si>
  <si>
    <t>C1:2500:GASOHOL 95 PLUS C2:4000:GASOHOL 97 PLUS </t>
  </si>
  <si>
    <t>124109-056-120217</t>
  </si>
  <si>
    <t>MEZA TRUJILLO JOSE LUIS</t>
  </si>
  <si>
    <t>VIA REGIONAL HUANUCO – LIMA, KM. 9 + 300 – PARCELA N° 78, C.P.M. ANDABAMBA.</t>
  </si>
  <si>
    <t>PILLCO MARCA</t>
  </si>
  <si>
    <t>101538-056-050815</t>
  </si>
  <si>
    <t>LEONCIO IGARZA MARTEL</t>
  </si>
  <si>
    <t>CARRETERA HUANUCO LA UNION - TINGO CHICO</t>
  </si>
  <si>
    <t>DOS DE MAYO</t>
  </si>
  <si>
    <t>CHUQUIS</t>
  </si>
  <si>
    <t>C1:4000:DIESEL B5 </t>
  </si>
  <si>
    <t>18507-056-300620</t>
  </si>
  <si>
    <t>GLOBAL FUEL S.A</t>
  </si>
  <si>
    <t>AV. SANCHEZ CERRO N° 825</t>
  </si>
  <si>
    <t xml:space="preserve">JACINTO FRANCIA ABURTO </t>
  </si>
  <si>
    <t>14517-056-231019</t>
  </si>
  <si>
    <t>C &amp; M SERVICENTROS S.A.C.</t>
  </si>
  <si>
    <t>CARRETERA PANAMERICANA SUR KM. 450 (ANTES KM. 444)</t>
  </si>
  <si>
    <t>NAZCA</t>
  </si>
  <si>
    <t>VISTA ALEGRE</t>
  </si>
  <si>
    <t>C1:4800:Diesel B5 S-50 C2:2900:GASOHOL 90 PLUS </t>
  </si>
  <si>
    <t>C1:6450:Diesel B5 S-50 </t>
  </si>
  <si>
    <t>C1:4450:Diesel B5 S-50 C2:2000:GASOHOL 98 PLUS </t>
  </si>
  <si>
    <t>C1:3850:GASOHOL 90 PLUS C2:3800:Diesel B5 S-50 </t>
  </si>
  <si>
    <t>JOSE ANTONIO TOVAR FERREYRA</t>
  </si>
  <si>
    <t>42088-056-311016</t>
  </si>
  <si>
    <t>CARRETERA PANAMERICANA NORTE KM. 569 EL MILAGRO</t>
  </si>
  <si>
    <t>C1:6642:DIESEL B5,Diesel B5 S-50 </t>
  </si>
  <si>
    <t>C1:3064:DIESEL B5 </t>
  </si>
  <si>
    <t>C1:1675:GASOHOL 90 PLUS C2:1668:GASOHOL 95 PLUS </t>
  </si>
  <si>
    <t>1350:GAS LICUADO DE PETROLEO </t>
  </si>
  <si>
    <t>14535-056-191017</t>
  </si>
  <si>
    <t>ESTACION DE SERVICIOS ORETELL E.I.R.L.</t>
  </si>
  <si>
    <t>CARRETERA CENTRAL Nº 595 - MARGEN IZQUIERDA</t>
  </si>
  <si>
    <t>SAUSA</t>
  </si>
  <si>
    <t>C1:1150:GASOHOL 84 PLUS </t>
  </si>
  <si>
    <t>C1:3700:GASOHOL 90 PLUS </t>
  </si>
  <si>
    <t>C1:1140:GASOHOL 95 PLUS </t>
  </si>
  <si>
    <t>MIRTHA EDA ORELLANA TELLO</t>
  </si>
  <si>
    <t>16583-056-041020</t>
  </si>
  <si>
    <t>SERVICENTRO LEMAN´S S.R.L.</t>
  </si>
  <si>
    <t>AV. ALFONSO UGARTE N° 214</t>
  </si>
  <si>
    <t>C1:3000:GASOHOL 90 PLUS C2:1000:Diesel B5 S-50 </t>
  </si>
  <si>
    <t>2400:GAS LICUADO DE PETROLEO </t>
  </si>
  <si>
    <t>MAXIMO HONORATO CORRALES CALISAYA</t>
  </si>
  <si>
    <t>17861-056-200120</t>
  </si>
  <si>
    <t>SERVICENTRO PIZARRO S.A.C.</t>
  </si>
  <si>
    <t xml:space="preserve">AV.FCO PIZARRO Nº 800 – ESQUINA AV.FELIPE ARANCIBIA Nº 101 - RIMAC </t>
  </si>
  <si>
    <t>C1:2700:GASOHOL 97 PLUS C2:5300:GASOHOL 90 PLUS </t>
  </si>
  <si>
    <t>C1:2700:GASOHOL 95 PLUS C2:5300:Diesel B5 S-50 </t>
  </si>
  <si>
    <t>LUCIA GOICOCHEA PAULETTE</t>
  </si>
  <si>
    <t>124988-056-021017</t>
  </si>
  <si>
    <t>SHANDHIRA S.A.C.</t>
  </si>
  <si>
    <t>AUTOPISTA CHANCAY HUARAL, PREDIO DEL PUQUIO LOTE A</t>
  </si>
  <si>
    <t>C1:2000:GASOHOL 97 PLUS C2:2000:GASOHOL 90 PLUS C3:2000:GASOHOL 95 PLUS </t>
  </si>
  <si>
    <t>HUBER EUTIMIO VALVERDE EGUSQUIZA</t>
  </si>
  <si>
    <t>8196-056-070816</t>
  </si>
  <si>
    <t>AV. PUENTE PIEDRA N° 1365</t>
  </si>
  <si>
    <t>C1:650:SIN PRODUCTO </t>
  </si>
  <si>
    <t xml:space="preserve">VICTOR GONZALO CASTILLA OVIEDO </t>
  </si>
  <si>
    <t>16692-056-270819</t>
  </si>
  <si>
    <t>GRIFOS ISAAC NR S.A.C.</t>
  </si>
  <si>
    <t>AV. PARDO N° 2296 P.J. MIRAFLORES I ZONA</t>
  </si>
  <si>
    <t>C1:2250:GASOHOL 95 PLUS C2:2250:GASOHOL 97 PLUS </t>
  </si>
  <si>
    <t>URCINO NORIEGA RAVELO</t>
  </si>
  <si>
    <t>18787-056-200320</t>
  </si>
  <si>
    <t>GRUPO GRAN PODER S.A.C.</t>
  </si>
  <si>
    <t>AV. DOLORES S/N, MZ. LL, LOTES 02 Y 15, URB. LOS NARANJOS</t>
  </si>
  <si>
    <t>JOSE LUIS BUSTAMANTE Y RIVERO</t>
  </si>
  <si>
    <t>C1:2290:GASOHOL 95 PLUS </t>
  </si>
  <si>
    <t>C1:2290:GASOHOL 97 PLUS </t>
  </si>
  <si>
    <t>C1:5760:GASOHOL 90 PLUS </t>
  </si>
  <si>
    <t>C1:5760:Diesel B5 S-50 </t>
  </si>
  <si>
    <t>SERGIO ANTONIO SILVA TAPIA</t>
  </si>
  <si>
    <t>18822-056-310716</t>
  </si>
  <si>
    <t>AV. REPUBLICA DE ARGENTINA N° 2501 – 2505 CON JR. LEONARDO ARRIETA N° 760 - 786</t>
  </si>
  <si>
    <t>C1:6000:GASOHOL 90 PLUS C2:6000:GASOHOL 98 PLUS </t>
  </si>
  <si>
    <t>9557-056-260816</t>
  </si>
  <si>
    <t>GRIFO SUBTANJALLA S.R.L.</t>
  </si>
  <si>
    <t>CARRETERA PANAMERICANA SUR KM. 296</t>
  </si>
  <si>
    <t>C1:7936:Diesel B5 S-50 </t>
  </si>
  <si>
    <t>C1:3984:GASOHOL 98 PLUS </t>
  </si>
  <si>
    <t>FANNY LUCILA HUAMANI DE LA CRUZ</t>
  </si>
  <si>
    <t>35258-056-271119</t>
  </si>
  <si>
    <t>CONSORCIO COMERCIAL SUDAMERICANA S.R.L.</t>
  </si>
  <si>
    <t>JR. JORGE CHAVEZ N° 101 ESQ. AV. FF.CC.</t>
  </si>
  <si>
    <t>C1:2000:GASOHOL 84 PLUS C2:2000:GASOHOL 97 PLUS C3:2000:GASOHOL 95 PLUS </t>
  </si>
  <si>
    <t>KATHERINE CAJINCHO PAREDES</t>
  </si>
  <si>
    <t>14527-056-270417</t>
  </si>
  <si>
    <t>GRIFO HUANCAS E.I.R.L.</t>
  </si>
  <si>
    <t>CARRETERA CENTRAL Nº 1525 MARGEN IZQUIERDA</t>
  </si>
  <si>
    <t>CONCEPCION</t>
  </si>
  <si>
    <t>C1:6130:GASOHOL 84 PLUS </t>
  </si>
  <si>
    <t>C1:1334:GASOHOL 97 PLUS C2:1778:GASOHOL 90 PLUS </t>
  </si>
  <si>
    <t>CESAR BALBIN PALIAN</t>
  </si>
  <si>
    <t>14637-056-111119</t>
  </si>
  <si>
    <t>AV. UNIVERSITARIA ESQ. AV. MEXICO CALLE L, MZ. D, LOTE 34, 35 Y 36 URB.SANTA ISOLINA 2DA ETAPA</t>
  </si>
  <si>
    <t>C1:4000:Diesel B5 S-50 C2:4000:GASOHOL 90 PLUS </t>
  </si>
  <si>
    <t>C1:1500:GASOHOL 97 PLUS C2:1500:GASOHOL 97 PLUS </t>
  </si>
  <si>
    <t>8960-056-140318</t>
  </si>
  <si>
    <t>DELTA PUCALLPA S.R.L.</t>
  </si>
  <si>
    <t>AV. CENTENARIO N° 1310 (ANTES AV. CENTENARIO N° 3800)</t>
  </si>
  <si>
    <t>C1:10000:DIESEL B5 </t>
  </si>
  <si>
    <t>CARLOS DAVID ATACHAGUA GOMEZ</t>
  </si>
  <si>
    <t>105268-056-280318</t>
  </si>
  <si>
    <t>TRANSPETROL J.R. S.A.C.</t>
  </si>
  <si>
    <t>CARRETERA PANAMERICANA SUR KM. 748 + 250, MZ. A1 LOTE 02 Y 03 CENTRO POBLADO MENOR NUEVO MOCUPE</t>
  </si>
  <si>
    <t>LAGUNAS</t>
  </si>
  <si>
    <t>C1:2000:GASOHOL 90 PLUS C2:1500:GASOHOL 95 PLUS </t>
  </si>
  <si>
    <t>DEISSY MAGALY GONZALEZ ORTEGA</t>
  </si>
  <si>
    <t>92191-056-280518</t>
  </si>
  <si>
    <t xml:space="preserve">ZENON CABREJOS JARA </t>
  </si>
  <si>
    <t>MZ. 62 LOTE 13 CENTRO POBLADO PACANGUILLA (ESQUINA AV. PANAMERICANA CON CALLE EL MILAGRO)</t>
  </si>
  <si>
    <t>ZENON CABREJOS JARA</t>
  </si>
  <si>
    <t>8987-056-130617</t>
  </si>
  <si>
    <t>ESTAGAS ANCO S.A.C.</t>
  </si>
  <si>
    <t>AV. TUPAC AMARU N° 6224 (ANTES 3242), URB. REPARTICION</t>
  </si>
  <si>
    <t>C1:2000:GASOHOL 84 PLUS C2:4000:Diesel B5 S-50 </t>
  </si>
  <si>
    <t>C1:3000:GASOHOL 90 PLUS C2:2000:GASOHOL 95 PLUS </t>
  </si>
  <si>
    <t>HERNAN EDUARDO ANCO MEZA</t>
  </si>
  <si>
    <t>82436-056-140515</t>
  </si>
  <si>
    <t>GAS PERU HUASCARAN S.A.C.</t>
  </si>
  <si>
    <t>AV. PANAMERICANA SUR Nº 100 Y 106 URB. EL CARMEN</t>
  </si>
  <si>
    <t>C1:3007:DIESEL B5 </t>
  </si>
  <si>
    <t>C1:4006:GASOHOL 84 PLUS </t>
  </si>
  <si>
    <t>C1:3007:GASOHOL 90 PLUS </t>
  </si>
  <si>
    <t>C1:2030:GASOHOL 95 PLUS </t>
  </si>
  <si>
    <t>8991-056-051020</t>
  </si>
  <si>
    <t>ESTACION DE SERVICIOS NORDALEX E.I.R.L.</t>
  </si>
  <si>
    <t>CARRETERA FERNANDO BELAUNDE TERRY KM. 1.5</t>
  </si>
  <si>
    <t>C1:10600:Diesel B5 S-50 </t>
  </si>
  <si>
    <t>C1:10600:GASOLINA 90 </t>
  </si>
  <si>
    <t>C1:10600:GASOLINA 84 </t>
  </si>
  <si>
    <t>ALFREDO DARWIN IBAÑEZ RUIZ</t>
  </si>
  <si>
    <t>38158-056-250418</t>
  </si>
  <si>
    <t>MULTISERVICIOS SANTA URSULA S.A.C.</t>
  </si>
  <si>
    <t>ESQUINA DE LA AV. CENTRAL CON LA AV. HUANDOY MZ. H LT. 12 13 Y 14</t>
  </si>
  <si>
    <t>C1:2500:SIN PRODUCTO C2:4000:Diesel B5 S-50 </t>
  </si>
  <si>
    <t>C1:2500:GASOHOL 90 PLUS C2:2500:GASOHOL 97 PLUS </t>
  </si>
  <si>
    <t>YANET NORMA TOMATEO VELASQUE</t>
  </si>
  <si>
    <t>91742-056-180618</t>
  </si>
  <si>
    <t>HECTOR JUAN VALENCIA CARHUAMACA</t>
  </si>
  <si>
    <t>AV. GENERAL CORDOVA S/N ESQ. AV. 31 DE OCTUBRE</t>
  </si>
  <si>
    <t>C1:3050:Diesel B5 S-50 C2:1050:GASOHOL 90 PLUS C3:1050:GASOHOL 97 PLUS </t>
  </si>
  <si>
    <t>119523-056-031020</t>
  </si>
  <si>
    <t>ENERGIGAS S.A.C.</t>
  </si>
  <si>
    <t>PUEBLO JOVEN FLORIDA BAJA MZA. R LOTES 1A Y 1B (ESQ. AV. ENRIQUE MEIGGS Y JR. TACNA)</t>
  </si>
  <si>
    <t>C1:2000:GASOHOL 97 PLUS C2:2000:GASOHOL 95 PLUS C3:2000:GASOHOL 97 PLUS </t>
  </si>
  <si>
    <t xml:space="preserve">DIEGO ALONSO CARLOS JOSE GONZALES POSADA DE COSSIO </t>
  </si>
  <si>
    <t>134229-056-290319</t>
  </si>
  <si>
    <t>INVERSIONES NOLASCO &amp; AQUINO HERMANOS S.C.R.L.</t>
  </si>
  <si>
    <t>CARRETERA PANAO-MOLINO S/N, KM 0.5</t>
  </si>
  <si>
    <t>C1:5200:Diesel B5 S-50 </t>
  </si>
  <si>
    <t>C1:5200:GASOHOL 90 PLUS </t>
  </si>
  <si>
    <t>FREDDY NOLASCO AQUINO</t>
  </si>
  <si>
    <t>21054-056-230118</t>
  </si>
  <si>
    <t xml:space="preserve">AV. SANTIAGO DE SURCO N° 3291, ESQUINA CON LOS ALAMOS LOTES 4 Y 5 </t>
  </si>
  <si>
    <t>C1:8099:Diesel B5 S-50 </t>
  </si>
  <si>
    <t>C1:5993:GASOHOL 90 PLUS </t>
  </si>
  <si>
    <t>15714-056-071118</t>
  </si>
  <si>
    <t>GRIFOS EL CHE II S.R.L.</t>
  </si>
  <si>
    <t>CARRETERA AL INTERIOR KM. 20 SECTOR QUIRIHUAC</t>
  </si>
  <si>
    <t>LAREDO</t>
  </si>
  <si>
    <t>FLAVIO ALBERTO GALVEZ ALVA</t>
  </si>
  <si>
    <t>8095-056-210219</t>
  </si>
  <si>
    <t>AV. JESUS N° 1400</t>
  </si>
  <si>
    <t>96397-056-080920</t>
  </si>
  <si>
    <t xml:space="preserve">INVERSIONES OMB S.A.C. </t>
  </si>
  <si>
    <t>ASOCIACIÓN TALLER SEÑOR DE LOS MILAGROS, MZ. B5 LOTES 4, 5 Y 6</t>
  </si>
  <si>
    <t>VENTANILLA</t>
  </si>
  <si>
    <t>JESUS ALEJANDRO HUAYTALLA CHUCHON</t>
  </si>
  <si>
    <t>39235-056-190117</t>
  </si>
  <si>
    <t>FRANKLIN ADOLFO DURAND SANCHEZ</t>
  </si>
  <si>
    <t>JR. 2 DE MAYO N° 293 - 297</t>
  </si>
  <si>
    <t>C1:3500:DIESEL B5,Diesel B5 S-50 </t>
  </si>
  <si>
    <t>105207-056-151119</t>
  </si>
  <si>
    <t>ESTACION DE SERVICIOS PETRO WORLD S.A.C.</t>
  </si>
  <si>
    <t>ZONA INDUSTRIAL MZ. 216 LOTE 03</t>
  </si>
  <si>
    <t>LUIS ALCIDES GALVEZ GUTIERREZ</t>
  </si>
  <si>
    <t>121854-056-061218</t>
  </si>
  <si>
    <t>GRUPO VISTA ALEGRE S.A.C.</t>
  </si>
  <si>
    <t>CALLE PACHACUTEC NRO. 1405</t>
  </si>
  <si>
    <t>C1:3300:Diesel B5 S-50 </t>
  </si>
  <si>
    <t>VARGAS INFANTE EDWIN</t>
  </si>
  <si>
    <t>41255-056-191218</t>
  </si>
  <si>
    <t>ESTACION DE SERVICIOS EL VALLE E.I.R.L.</t>
  </si>
  <si>
    <t>CARRETERA CENTRAL LIMA - PUCALLPA KM 420.7</t>
  </si>
  <si>
    <t>WILSON MANUEL PALOMINO CLAUDIO</t>
  </si>
  <si>
    <t>96095-056-090719</t>
  </si>
  <si>
    <t>ESTACION DE SERVICIOS MAX E.I.R.L.</t>
  </si>
  <si>
    <t>CARRETERA MARGINAL KM 69 ASOC. PEQUEÑOS PRODUCTORES LA LIBERTAD FUNDO SANGANI</t>
  </si>
  <si>
    <t>C1:3000:GASOHOL 84 PLUS C2:3000:GASOHOL 90 PLUS </t>
  </si>
  <si>
    <t xml:space="preserve">ISABEL YOVANA SANCHEZ INGARUCA DE ATAO </t>
  </si>
  <si>
    <t>16780-056-260618</t>
  </si>
  <si>
    <t>AV. LOS INCAS Nº 100, LOTE 14 Y 14A, MZ. O - SECTOR 1</t>
  </si>
  <si>
    <t>7075-056-030815</t>
  </si>
  <si>
    <t xml:space="preserve">ZPV S.A. </t>
  </si>
  <si>
    <t>AV. MEXICO Nº 210</t>
  </si>
  <si>
    <t>JOSE GABRIEL PASTOR VIVES</t>
  </si>
  <si>
    <t>19969-056-270117</t>
  </si>
  <si>
    <t>SERVICENTRO SAN LUIS S.A.C.</t>
  </si>
  <si>
    <t>AV. PROCERES DE LA INDEPENDENCIA N° 5324</t>
  </si>
  <si>
    <t>ANTONIO JOSE MENDOZA CHAVEZ</t>
  </si>
  <si>
    <t>137461-056-200718</t>
  </si>
  <si>
    <t>VIRTUAL GAS S.A.C.</t>
  </si>
  <si>
    <t>CARRETERA PANAMERICANA SUR KM 199</t>
  </si>
  <si>
    <t>9200:GAS LICUADO DE PETROLEO </t>
  </si>
  <si>
    <t>JORGE LUIS LANDA GOMERO</t>
  </si>
  <si>
    <t>106433-056-130520</t>
  </si>
  <si>
    <t>ESTACION DE SERVICIOS CON GASOCENTRO DE GLP SAC.</t>
  </si>
  <si>
    <t>CARRETERA FERNANDO BELAUNDE TERRY KM 308+80 ANEXO DE CARRERA</t>
  </si>
  <si>
    <t>BONGARA</t>
  </si>
  <si>
    <t>FLORIDA</t>
  </si>
  <si>
    <t>C1:2500:GASOLINA 95 C2:2500:GASOLINA 90 </t>
  </si>
  <si>
    <t>149298-056-080720</t>
  </si>
  <si>
    <t>ESTACION DE SERVICIOS Y GASOCENTRO GIANELLA E.I.R.L.</t>
  </si>
  <si>
    <t xml:space="preserve">AV. IQUITOS SUB LOTE 8-B3, MZ 69 </t>
  </si>
  <si>
    <t>CASTILLO GRANDE</t>
  </si>
  <si>
    <t>ROSEMARIE SANCHEZ SILVA</t>
  </si>
  <si>
    <t>19893-056-140218</t>
  </si>
  <si>
    <t>GAS BLAYJOS S.A.C</t>
  </si>
  <si>
    <t>CARRETERA LOS LIBERTADORES KM. 20</t>
  </si>
  <si>
    <t>JORGE OSTOS SIFUENTES</t>
  </si>
  <si>
    <t>21399-056-010318</t>
  </si>
  <si>
    <t>OSROS S.A.C.</t>
  </si>
  <si>
    <t>PROLONGACION AV. EJERCITO N° 508</t>
  </si>
  <si>
    <t>C1:5447:Diesel B5 S-50 </t>
  </si>
  <si>
    <t>C1:5447:GASOHOL 90 PLUS </t>
  </si>
  <si>
    <t>C1:4085:GASOHOL 97 PLUS </t>
  </si>
  <si>
    <t>C1:4085:GASOHOL 95 PLUS </t>
  </si>
  <si>
    <t>C1:4085:SIN PRODUCTO </t>
  </si>
  <si>
    <t>OSCAR WILBERT ROSAS CHARAJA</t>
  </si>
  <si>
    <t>6978-056-090619</t>
  </si>
  <si>
    <t>AV. O. BENAVIDES N° 711</t>
  </si>
  <si>
    <t>ABRAHAM HUGO CALDERÓN MAVILA</t>
  </si>
  <si>
    <t>15389-056-111116</t>
  </si>
  <si>
    <t>GRAN PRIX S.R.L.</t>
  </si>
  <si>
    <t>AV. PAKAMUROS N° 2191</t>
  </si>
  <si>
    <t>C1:5500:GASOHOL 84 PLUS </t>
  </si>
  <si>
    <t>C1:5500:DIESEL B5,Diesel B5 S-50 </t>
  </si>
  <si>
    <t>CESAR AUGUSTO HEREDIA LOPEZ</t>
  </si>
  <si>
    <t>16796-056-220316</t>
  </si>
  <si>
    <t>LOTE N° 08 MZ. M URB. LA CAMPIÑA 3ERA ETAPA</t>
  </si>
  <si>
    <t>C1:2000:GASOHOL 90 PLUS,GLP - G </t>
  </si>
  <si>
    <t>123549-056-020718</t>
  </si>
  <si>
    <t>ABRESTALDI COMBUSTIBLES S.A.C.</t>
  </si>
  <si>
    <t>PROLONGACION AREQUIPA N°2750 Y 2760</t>
  </si>
  <si>
    <t>C1:11000:Diesel B5 S-50 </t>
  </si>
  <si>
    <t>C1:2500:GASOHOL 98 PLUS </t>
  </si>
  <si>
    <t>RODOLFO FRANCISCO ARROYO ALIAGA</t>
  </si>
  <si>
    <t>82526-056-270120</t>
  </si>
  <si>
    <t>SERVICENTRO MADRID E HIJOS SRL</t>
  </si>
  <si>
    <t>CARRETERA PAITA SULLANA KM 2 ZONA COMERCIAL PAITA MZ II LOTE 27</t>
  </si>
  <si>
    <t>PAITA</t>
  </si>
  <si>
    <t>C1:3500:GASOHOL 84 PLUS C2:3500:GASOHOL 90 PLUS </t>
  </si>
  <si>
    <t>MADRID GONZAGA DAVID</t>
  </si>
  <si>
    <t>14514-056-260318</t>
  </si>
  <si>
    <t>SERVICENTRO LA FLORIDA S.A.C.</t>
  </si>
  <si>
    <t>AV. ARENALES N° 123</t>
  </si>
  <si>
    <t>LOS AQUIJES</t>
  </si>
  <si>
    <t>C1:1200:GASOHOL 95 PLUS </t>
  </si>
  <si>
    <t>9077-056-010720</t>
  </si>
  <si>
    <t>PETROGAS E.I.R.L</t>
  </si>
  <si>
    <t>AV. JACINTO IBARRA Nº 109</t>
  </si>
  <si>
    <t>C1:3900:GASOHOL 90 PLUS C2:3900:GASOHOL 95 PLUS </t>
  </si>
  <si>
    <t>C1:7800:Diesel B5 S-50 </t>
  </si>
  <si>
    <t>FELICIANO RODRIGO GONZALO JOAQUIN</t>
  </si>
  <si>
    <t>15707-056-110119</t>
  </si>
  <si>
    <t>AUTOMOTRIZ ANDINA S.A.</t>
  </si>
  <si>
    <t>CALLE JUNÍN N° 107</t>
  </si>
  <si>
    <t>C1:4150:GASOHOL 90 PLUS </t>
  </si>
  <si>
    <t>C1:4150:Diesel B5 S-50 </t>
  </si>
  <si>
    <t>C1:9500:GASOHOL 90 PLUS </t>
  </si>
  <si>
    <t>C1:9500:Diesel B5 S-50 </t>
  </si>
  <si>
    <t>RAUL LLAMOSAS CARBAJAL</t>
  </si>
  <si>
    <t>125289-056-220317</t>
  </si>
  <si>
    <t>GRUPO VCV GAS S.A.C.</t>
  </si>
  <si>
    <t>CARRETERA CENTRAL KM 158-SAN MIGUEL DE PACHACHACA</t>
  </si>
  <si>
    <t>YAULI</t>
  </si>
  <si>
    <t>C1:10462:Diesel B5 S-50 </t>
  </si>
  <si>
    <t>C1:3082:GASOHOL 90 PLUS C2:1469:GASOHOL 95 PLUS </t>
  </si>
  <si>
    <t xml:space="preserve">CORDOVA ATACHAGUA EDSON JHON </t>
  </si>
  <si>
    <t>92951-056-140618</t>
  </si>
  <si>
    <t>ROSA ABELINA HUAMAN SALCEDO</t>
  </si>
  <si>
    <t>CARRETERA CENTRAL TARMA - JAUJA KM 57.00 CARHUACATAC</t>
  </si>
  <si>
    <t>C2:2601:Diesel B5 S-50 </t>
  </si>
  <si>
    <t>C1:1350:GASOHOL 95 PLUS C2:2618:Diesel B5 S-50 </t>
  </si>
  <si>
    <t>C1:1372:GASOHOL 90 PLUS </t>
  </si>
  <si>
    <t>6836-056-181018</t>
  </si>
  <si>
    <t>ATS AMERICA S.A.C.</t>
  </si>
  <si>
    <t>AV. LIMA SUR Nº 895 - CHOSICA</t>
  </si>
  <si>
    <t>VICENTE ENRIQUE MARCELO LOAYZA</t>
  </si>
  <si>
    <t>148844-056-230120</t>
  </si>
  <si>
    <t>ESTACION PACHACUTEC S.A.C.</t>
  </si>
  <si>
    <t>LOTE 13, MANZANA A EX FUNDO EL CHIPE</t>
  </si>
  <si>
    <t>EDUARDO ANDRE HERVE CAPRILE SAINT-PERE</t>
  </si>
  <si>
    <t>89145-056-210219</t>
  </si>
  <si>
    <t>INTERSECCION AV LIBERTADOR SAN MARTIN CON LA AV. VIA DE EVITAMIENTO</t>
  </si>
  <si>
    <t>C1:2500:Diesel B5 S-50 C2:2500:GASOHOL 95 PLUS </t>
  </si>
  <si>
    <t>86718-056-090320</t>
  </si>
  <si>
    <t>ESTACION DE SERVICIOS MAURICIO REVILLA SALAS S.R.L.</t>
  </si>
  <si>
    <t>AV. MANUEL C. DE LA TORRE S/N, MZ. A LOTE 5-A, SECTOR QUEDRADA LAS LECHUZAS</t>
  </si>
  <si>
    <t>C1:2630:GASOHOL 95 PLUS </t>
  </si>
  <si>
    <t>C1:5320:GASOHOL 90 PLUS </t>
  </si>
  <si>
    <t>C1:5310:Diesel B5 S-50 </t>
  </si>
  <si>
    <t>LUCILA COAYLA SAIRA</t>
  </si>
  <si>
    <t>39579-056-041018</t>
  </si>
  <si>
    <t xml:space="preserve">ESTACION DE SERVICIOS EL OASIS DE ICA SAC </t>
  </si>
  <si>
    <t>CARRETERA PANAMERICANA SUR KM. 442.8 Y AV. LOS INCAS S/N.</t>
  </si>
  <si>
    <t>C1:8000:GASOHOL 97 PLUS </t>
  </si>
  <si>
    <t>5400:GAS LICUADO DE PETROLEO </t>
  </si>
  <si>
    <t>ROCIO PAUCAR PROSOPIO</t>
  </si>
  <si>
    <t>115401-056-080519</t>
  </si>
  <si>
    <t>NAGIBE ESTACION E.I.R.L.</t>
  </si>
  <si>
    <t xml:space="preserve">AV. FAUSTINO SANCHEZ CARRION S/N </t>
  </si>
  <si>
    <t>C1:3000:GASOHOL 95 PLUS C2:3000:GASOHOL 90 PLUS C3:1000:GASOHOL 84 PLUS </t>
  </si>
  <si>
    <t>FLORISA ROSARIO CALLE CAYLLAHUA</t>
  </si>
  <si>
    <t>133397-056-221018</t>
  </si>
  <si>
    <t>ESTACIÓN DE SERVICIOS L&amp;L S.A.</t>
  </si>
  <si>
    <t>AV. PROGRESO N° 687</t>
  </si>
  <si>
    <t>C1:5000:GASOHOL 90 PLUS C2:2000:GASOHOL 84 PLUS C3:1500:GASOHOL 95 PLUS C4:1500:GASOHOL 98 PLUS </t>
  </si>
  <si>
    <t>GONZALO INARIO LOPEZ LAZO</t>
  </si>
  <si>
    <t>15729-056-200215</t>
  </si>
  <si>
    <t>SERVICENTRO SAN HILARION S.A.</t>
  </si>
  <si>
    <t>INTERSECCION AV. CANTOGRANDE Y AV. LAS FLORES DE PRIMAVERA</t>
  </si>
  <si>
    <t>TOMAS ZAVALA JUAREZ</t>
  </si>
  <si>
    <t>9093-056-160817</t>
  </si>
  <si>
    <t>FORTUNATO CONTRERAS BRAVO</t>
  </si>
  <si>
    <t>CARRETERA MARGINAL KM.54 - AUCAYACU</t>
  </si>
  <si>
    <t>JOSE CRESPO Y CASTILLO</t>
  </si>
  <si>
    <t>C1:5000:GASOHOL 90 PLUS C2:2500:GASOHOL 84 PLUS C3:2500:GASOHOL 95 PLUS </t>
  </si>
  <si>
    <t>62995-056-150118</t>
  </si>
  <si>
    <t>ESTACION DE SERVICIOS SELVA GAS S.R.L.</t>
  </si>
  <si>
    <t>LOTE 2, 2-A, 3 MZ. 174-A CENTRO POBLADO COMITE VECINAL BARRIO MIRAFLORES</t>
  </si>
  <si>
    <t>C1:3952:DIESEL B5 C2:3952:DIESEL B5 </t>
  </si>
  <si>
    <t>C1:3952:GASOLINA 95 C2:3952:GASOLINA 90 </t>
  </si>
  <si>
    <t>JOEL BRYAN CRISTOBAL NIETO</t>
  </si>
  <si>
    <t>18687-056-121219</t>
  </si>
  <si>
    <t>AV. ANDRES AVELINO CACERES N° 120 ESQ. CON AV. RICARDO PALMA</t>
  </si>
  <si>
    <t>111552-056-271117</t>
  </si>
  <si>
    <t>ESTACION DE SERVICIOS PACHATUSAN S.A.C.</t>
  </si>
  <si>
    <t xml:space="preserve">ASOCIACION DE PROPIETARIOS SEÑOR DE HUANCA MZ. D LOTE 1 </t>
  </si>
  <si>
    <t>C1:4000:GASOHOL 90 PLUS C2:4000:GASOHOL 90 PLUS </t>
  </si>
  <si>
    <t>BETZI SOTA PAREDES</t>
  </si>
  <si>
    <t>90316-056-280118</t>
  </si>
  <si>
    <t>COPRINI S.A.C.</t>
  </si>
  <si>
    <t>AV. TANTAMAYO CRUCE CON CALLE LLATA, MZ A, LT. 22 Y 23 – URB. SOL DE NARANJAL</t>
  </si>
  <si>
    <t>C1:1300:GASOHOL 95 PLUS C2:2600:GASOHOL 90 PLUS C3:2600:GASOHOL 97 PLUS </t>
  </si>
  <si>
    <t>ANA VILMA ALVARADO UNSIHUAY</t>
  </si>
  <si>
    <t>126916-056-280718</t>
  </si>
  <si>
    <t>ESTACION DE SERVICIOS SAN JOSE S.R.L.</t>
  </si>
  <si>
    <t>PREDIO B1-B CARRETERA INDUSTRIAL MZ.Q LT. 1 URB. SANTA ROSA</t>
  </si>
  <si>
    <t>MOCHE</t>
  </si>
  <si>
    <t>C1:3385:Diesel B5 S-50 </t>
  </si>
  <si>
    <t>C1:2711:GASOHOL 95 PLUS </t>
  </si>
  <si>
    <t>C1:2711:GASOHOL 90 PLUS </t>
  </si>
  <si>
    <t>C1:2030:GASOHOL 84 PLUS </t>
  </si>
  <si>
    <t>C1:2030:GASOHOL 97 PLUS </t>
  </si>
  <si>
    <t>FANNY SARA BENITES JOAQIN</t>
  </si>
  <si>
    <t>97924-056-140520</t>
  </si>
  <si>
    <t>ESTACION DE SERVICIOS LOS JARDINES S.A.C.</t>
  </si>
  <si>
    <t>MZ. P LOTES 01, 02, 03, 30 Y 31 ESQUINA AV. A CON PROLONGACION AV. CHULUCANAS - URB. LOS JARDINES</t>
  </si>
  <si>
    <t>C1:7900:Diesel B5 S-50 </t>
  </si>
  <si>
    <t>C1:3000:GASOHOL 84 PLUS C2:4900:GASOHOL 90 PLUS </t>
  </si>
  <si>
    <t>TRONCOS NUÑEZ SEGUNDO VICTOR</t>
  </si>
  <si>
    <t>37760-056-230816</t>
  </si>
  <si>
    <t>ESTACIÒN DE SERVICIOS ROMAR S.A.C.</t>
  </si>
  <si>
    <t>AV. CHINCHAYSUYO N° 1485</t>
  </si>
  <si>
    <t>5000:GLP - G </t>
  </si>
  <si>
    <t>ROBERTO MANUEL MERINO AURICH</t>
  </si>
  <si>
    <t>126551-056-260820</t>
  </si>
  <si>
    <t>SURTIDORES E INVERSIONES MAX E.I.R.L.</t>
  </si>
  <si>
    <t>CARRETERA MARGINAL PUERTO OCOPA N° 922</t>
  </si>
  <si>
    <t>PANGOA</t>
  </si>
  <si>
    <t>C1:2500:GASOHOL 84 PLUS C2:2500:GASOHOL 95 PLUS </t>
  </si>
  <si>
    <t>MAXIMILIANO JOAQUIN ATAO CAJA</t>
  </si>
  <si>
    <t>8583-056-070120</t>
  </si>
  <si>
    <t>PETROSUR S.A.C.</t>
  </si>
  <si>
    <t>CARRETERA PANAMERICANA SUR KM. 19.5</t>
  </si>
  <si>
    <t>VILLA EL SALVADOR</t>
  </si>
  <si>
    <t>C1:3000:GASOHOL 90 PLUS C2:3000:GASOHOL 90 PLUS </t>
  </si>
  <si>
    <t>C1:3000:GASOHOL 97 PLUS C2:3000:GASOHOL 97 PLUS </t>
  </si>
  <si>
    <t>CESAR EDMUNDO BOTTO DENEGRI</t>
  </si>
  <si>
    <t>108888-056-280618</t>
  </si>
  <si>
    <t>ESTACION DE SERVICIOS M Y M S.A.C.</t>
  </si>
  <si>
    <t>AV. SAN MARTIN N° 1298 (ESQUINA CON JR. FREY)</t>
  </si>
  <si>
    <t>C1:4000:GASOHOL 90 PLUS C2:3000:GASOHOL 95 PLUS C3:3000:GASOHOL 97 PLUS </t>
  </si>
  <si>
    <t>WILFREDO SIMON PIOVIZAN</t>
  </si>
  <si>
    <t>121495-056-190520</t>
  </si>
  <si>
    <t>PEYSA E.I.R.L.</t>
  </si>
  <si>
    <t>AV. GUARDIA CIVIL MZ. A, LOTE N° 7- AA.HH. VILLA SOL</t>
  </si>
  <si>
    <t>PEDRO ARQUIMIDES OCAÑA FRIAS</t>
  </si>
  <si>
    <t>144657-056-190919</t>
  </si>
  <si>
    <t>ESTACION DE SERVICIOS MONTE EVEREST SAC</t>
  </si>
  <si>
    <t>SUB LOTE 2-A AV. PRINCIPAL-CARRETERA A SUNAMPE</t>
  </si>
  <si>
    <t>SUNAMPE</t>
  </si>
  <si>
    <t>C1:1000:GASOHOL 95 PLUS C2:1500:GASOHOL 90 PLUS C3:1500:GASOHOL 84 PLUS </t>
  </si>
  <si>
    <t>QUEZADA PAREDES JOSE GREGORIO</t>
  </si>
  <si>
    <t>6977-056-191119</t>
  </si>
  <si>
    <t>LUIS ALBERTO DOMINGO SÁNCHEZ ACEVEDO</t>
  </si>
  <si>
    <t xml:space="preserve">ESQUINA JR. GRAU Nº 640 Y PANAMERICANA SUR KM. 199 </t>
  </si>
  <si>
    <t>C1:2885:Diesel B5 S-50 </t>
  </si>
  <si>
    <t>C1:2885:GASOHOL 90 PLUS </t>
  </si>
  <si>
    <t>C1:2092:GASOHOL 95 PLUS C2:1043:GASOHOL 84 PLUS </t>
  </si>
  <si>
    <t>15703-056-230919</t>
  </si>
  <si>
    <t>GASOCENTRO SAN JOSE E.I.R.L.</t>
  </si>
  <si>
    <t>CARRETERA CENTRAL KM. 383 HUAYLLA</t>
  </si>
  <si>
    <t>C1:3000:GASOHOL 95 PLUS C2:5000:GASOHOL 90 PLUS </t>
  </si>
  <si>
    <t>ROBERTO VALENZUELA GASTELU</t>
  </si>
  <si>
    <t>19916-056-220317</t>
  </si>
  <si>
    <t>COESTI S.A</t>
  </si>
  <si>
    <t>AV. MIGUEL GRAU CDRA. 1</t>
  </si>
  <si>
    <t>SANTA ROSA DE SACCO</t>
  </si>
  <si>
    <t>5800:GAS LICUADO DE PETROLEO </t>
  </si>
  <si>
    <t>JORGE EDUARDO CARRASCO FIGUEROA</t>
  </si>
  <si>
    <t>120374-056-060518</t>
  </si>
  <si>
    <t>ESTACIONES Y SERVICIOS MHT E.I.R.L.</t>
  </si>
  <si>
    <t>AV. ELVIRA GARCIA Y GARCIA / CALLE CAJAMARCA 398</t>
  </si>
  <si>
    <t>C1:3000:GASOHOL 90 PLUS C2:2000:GASOHOL 84 PLUS C3:1500:GASOHOL 95 PLUS </t>
  </si>
  <si>
    <t>JUAN MIGUEL HEREDIA TROYA</t>
  </si>
  <si>
    <t>87317-056-040219</t>
  </si>
  <si>
    <t>ESTACIONES PETRO OBEMAN S.A.C.</t>
  </si>
  <si>
    <t>AV. ENRIQUE MEIGGS N° 1705 PP.JJ. MIRAFLORES ALTO</t>
  </si>
  <si>
    <t>4850:GAS LICUADO DE PETROLEO </t>
  </si>
  <si>
    <t>IVANNA MILENA OBESO MANTILLA</t>
  </si>
  <si>
    <t>9661-056-070217</t>
  </si>
  <si>
    <t>INVERSIONES TORRES E.I.R.LTDA.</t>
  </si>
  <si>
    <t>AV. FRANCISCO IRAZOLA KM. 5.5</t>
  </si>
  <si>
    <t>SANTA ROSA DE OCOPA</t>
  </si>
  <si>
    <t>C1:4000:DIESEL B5 PD </t>
  </si>
  <si>
    <t>C1:1500:GASOHOL 90 PLUS C2:1500:Diesel B5 S-50 </t>
  </si>
  <si>
    <t>DIEGO ARMANDO TORRES ORE</t>
  </si>
  <si>
    <t>34547-056-060319</t>
  </si>
  <si>
    <t>AV. ESPAÑA N° 2625 ESQUINA CON AV. 28 DE JULIO.</t>
  </si>
  <si>
    <t>C1:1600:GASOHOL 97 PLUS </t>
  </si>
  <si>
    <t>9149-056-100615</t>
  </si>
  <si>
    <t>SERVI GRIFOS S.A.</t>
  </si>
  <si>
    <t>CARRETERA PANAMERICANA SUR KM. 14.00 - URB. SAN JUAN</t>
  </si>
  <si>
    <t>CARLOS ALBERTO GARCIA BLASQUEZ GARCIA</t>
  </si>
  <si>
    <t>103658-056-130916</t>
  </si>
  <si>
    <t>ESTACION DE SERVICIOS SAN ROQUE S.A.C.</t>
  </si>
  <si>
    <t>CARRETERA CHICLAYO-PIMENTEL KM 4.5 -SECTOR LA GARITA</t>
  </si>
  <si>
    <t>PIMENTEL</t>
  </si>
  <si>
    <t>C1:2000:GASOHOL 95 PLUS C2:2000:GASOHOL 98 PLUS </t>
  </si>
  <si>
    <t>JORGE ANTONIO PISCOYA MADUEÑO</t>
  </si>
  <si>
    <t>62373-056-191119</t>
  </si>
  <si>
    <t>ESTACION DE SERVICIOS PETRONORTE E.I.R.L.</t>
  </si>
  <si>
    <t xml:space="preserve">CARRETERA PANAMERICANA NORTE KM 791 + 79 </t>
  </si>
  <si>
    <t>C1:9000:DIESEL B5,Diesel B5 S-50 </t>
  </si>
  <si>
    <t>C1:9000:GASOHOL 95 PLUS </t>
  </si>
  <si>
    <t>BRITALDO ROJAS RAFAEL</t>
  </si>
  <si>
    <t>9523-056-110118</t>
  </si>
  <si>
    <t>PETRO CRYSMAR S.A.C.</t>
  </si>
  <si>
    <t>CARRETERA PANAMERICANA NORTE KM. 574.3</t>
  </si>
  <si>
    <t>CHICAMA</t>
  </si>
  <si>
    <t>C1:4125:Diesel B5 S-50 </t>
  </si>
  <si>
    <t>C1:4125:GASOHOL 90 PLUS </t>
  </si>
  <si>
    <t>C1:4125:GASOHOL 95 PLUS </t>
  </si>
  <si>
    <t>LUZ HERMITA SILVA POLO</t>
  </si>
  <si>
    <t>8247-056-040319</t>
  </si>
  <si>
    <t>AV. EL EJERCITO N° 412-422</t>
  </si>
  <si>
    <t>C1:8000:GASOHOL 95 PLUS C2:8000:GASOHOL 90 PLUS C3:8000:GASOHOL 97 PLUS C4:8000:Diesel B5 S-50 </t>
  </si>
  <si>
    <t>16791-056-220816</t>
  </si>
  <si>
    <t>G &amp; N GRIFOS S.A.</t>
  </si>
  <si>
    <t>AV. LEONCIO PRADO MZ. 2 LT. 14 SECTOR RAZURI CENTRO</t>
  </si>
  <si>
    <t>C1:5500:DIESEL B5,Diesel B5 S-50,GAS LICUADO DE PETROLEO </t>
  </si>
  <si>
    <t>C1:4400:GASOHOL 95 PLUS </t>
  </si>
  <si>
    <t>C1:5500:GASOHOL 90 PLUS </t>
  </si>
  <si>
    <t>C1:4400:GASOHOL 84 PLUS </t>
  </si>
  <si>
    <t xml:space="preserve">GUILLERMO ROJAS HERNANDEZ </t>
  </si>
  <si>
    <t>100436-056-311217</t>
  </si>
  <si>
    <t>PROYECTO INVERSIONES JM S.R.L.</t>
  </si>
  <si>
    <t>AV. MARISCAL BENAVIDES N° 1399</t>
  </si>
  <si>
    <t>SAN VICENTE DE CAÑETE</t>
  </si>
  <si>
    <t>C1:1900:GASOHOL 90 PLUS </t>
  </si>
  <si>
    <t>C1:1300:GASOHOL 95 PLUS </t>
  </si>
  <si>
    <t>JULIO GUILLERMO CASTILLO LUYO</t>
  </si>
  <si>
    <t>18827-056-070316</t>
  </si>
  <si>
    <t>GRIFO SEÑOR DE HUAMANTANGA E.I.R.L.</t>
  </si>
  <si>
    <t>AV. SAN JUAN, MZ A, LOTE 3A, PAMPA LIBRE, KM. 1.5, CARRETERA AL CENTRO NUCLEAR DE HUARANGAL</t>
  </si>
  <si>
    <t>C1:1000:GASOHOL 98 PLUS </t>
  </si>
  <si>
    <t>CELSO CAMASCCA FLORES</t>
  </si>
  <si>
    <t>21008-056-060218</t>
  </si>
  <si>
    <t>ESTACION DE SERVICIOS EL PACIFICO E.I.R.L.</t>
  </si>
  <si>
    <t>AV. ARENALES NRO. 1911</t>
  </si>
  <si>
    <t>MAGDA BENAVIDES RIOS</t>
  </si>
  <si>
    <t>119556-056-150418</t>
  </si>
  <si>
    <t>GRIFO AMIGO S.A</t>
  </si>
  <si>
    <t>AV.TUPAC AMARU N° 1790, MZ. A LOTE N° 1, SECTOR ALTO MOCHICA</t>
  </si>
  <si>
    <t>C1:3000:GASOHOL 97 PLUS C2:3000:GASOHOL 95 PLUS </t>
  </si>
  <si>
    <t>64009-056-010818</t>
  </si>
  <si>
    <t>INVERSIONES "KATXIM" E.I.R.L.</t>
  </si>
  <si>
    <t>AV. ORIENTE N° 248</t>
  </si>
  <si>
    <t>C1:2940:Diesel B5 S-50 </t>
  </si>
  <si>
    <t>C1:1935:GASOHOL 90 PLUS C2:965:GASOHOL 95 PLUS </t>
  </si>
  <si>
    <t xml:space="preserve">KATHERINE MERLY AQUINO TORRES </t>
  </si>
  <si>
    <t>117353-056-081017</t>
  </si>
  <si>
    <t>GRUPO HUACHIPA GAS E.I.R.L.</t>
  </si>
  <si>
    <t>CARRETERA MARGINAL HUANUCO - TINGO MARIA KM. 8 HUACHIPA</t>
  </si>
  <si>
    <t>CHINCHAO</t>
  </si>
  <si>
    <t>AYDE RAMOS MATEO</t>
  </si>
  <si>
    <t>131930-056-280917</t>
  </si>
  <si>
    <t xml:space="preserve">DISTRIBUIDORA CARRIÓN S.A.C. </t>
  </si>
  <si>
    <t>PROLONGACIÓN JUNÍN N°2713, ESQUINA CON VÍA EXPRESA 2, LOTE 1, MZ E, PARQUE INDUSTRIAL</t>
  </si>
  <si>
    <t>C1:5000:GASOHOL 90 PLUS C2:2500:GASOHOL 97 PLUS C3:2500:GASOHOL 95 PLUS </t>
  </si>
  <si>
    <t>LUCIO ARTURO CARRION CARRERA</t>
  </si>
  <si>
    <t>82267-056-080416</t>
  </si>
  <si>
    <t>SERVICENTRO Y TRANSPORTES CONTRERAS S.A.C.</t>
  </si>
  <si>
    <t>AV. BERTELLO MZ G LOTES 1, 2 Y 3, PROGRAMA DE VIVIENDA SAN REMO III Y LOTES 2 Y 3 DE LA MZ. B DEL PROGRAMA DE VIVIENDA FHILADELFIA IV ETAPA</t>
  </si>
  <si>
    <t>C2:1123:GASOHOL 90 PLUS </t>
  </si>
  <si>
    <t>C1:1123:GASOHOL 95 PLUS </t>
  </si>
  <si>
    <t>JAIME CEVERO CONTRERAS RAMIREZ</t>
  </si>
  <si>
    <t>8065-056-121219</t>
  </si>
  <si>
    <t>AV. MATEO PUMACAHUA S/N. MZ. D, LOTE 1</t>
  </si>
  <si>
    <t>2140:GAS LICUADO DE PETROLEO </t>
  </si>
  <si>
    <t>136779-056-120618</t>
  </si>
  <si>
    <t xml:space="preserve">ESTACIONES Y SERVICIOS MHT E.I.R.L. </t>
  </si>
  <si>
    <t>SUB LOTE 4A - FUNDO POLOLO (INTERSECCIÓN AV. PROLONGACION BOLOGNESI Y CALLE AREQUIPA)</t>
  </si>
  <si>
    <t>8421-056-130520</t>
  </si>
  <si>
    <t>AV. SANCHEZ CERRO ESQUINA AV. SULLANA LOTES 09, 10, 11 URB. CLUB GRAU</t>
  </si>
  <si>
    <t>C1:4000:GASOHOL 84 PLUS C2:4000:GASOHOL 95 PLUS </t>
  </si>
  <si>
    <t>CRUCES LIBERT CESAR DOMINGO</t>
  </si>
  <si>
    <t>14825-056-140115</t>
  </si>
  <si>
    <t>ESTACION DE SERVICIO PORTEÑO S. R. L.</t>
  </si>
  <si>
    <t>ESQUINA SIMON BOLIVAR Nº 1273 Y CALLE VICTORIA Nº 101</t>
  </si>
  <si>
    <t>PUNO</t>
  </si>
  <si>
    <t>C1:4700:GASOLINA 84 </t>
  </si>
  <si>
    <t>C1:4700:GASOLINA 90 </t>
  </si>
  <si>
    <t>C1:4700:DIESEL B2 </t>
  </si>
  <si>
    <t>C1:2500:SIN PRODUCTO </t>
  </si>
  <si>
    <t>GABY VALDIVIA DE CABALA</t>
  </si>
  <si>
    <t>98319-056-290419</t>
  </si>
  <si>
    <t>GRIFO PANAMERICANA E.I.R.L.</t>
  </si>
  <si>
    <t>AV. SAN AGUSTIN Nº 1921</t>
  </si>
  <si>
    <t>C1:2000:GASOHOL 90 PLUS C2:2000:GASOHOL 97 PLUS C3:2000:GASOHOL 95 PLUS C4:3000:GASOHOL 90 PLUS </t>
  </si>
  <si>
    <t>DONATA ALVINA BALVIN DE MOLINA</t>
  </si>
  <si>
    <t>97176-056-250217</t>
  </si>
  <si>
    <t>ESTACION DE SERVICIOS &amp; FENIX SUR S.A.C.</t>
  </si>
  <si>
    <t>AA. HH. EDILBERTO RAMOS, GRUPO 01, MZ A LT 2, SUB LOTE 1 4TA ETAPA URB PACHACAMAC</t>
  </si>
  <si>
    <t>C1:2696:Diesel B5 S-50 </t>
  </si>
  <si>
    <t>C1:1797:GASOHOL 95 PLUS C2:1797:GASOHOL 90 PLUS </t>
  </si>
  <si>
    <t>ALEJANDRINO VICTORIANO DE LA CRUZ TORPOCO</t>
  </si>
  <si>
    <t>20982-056-180519</t>
  </si>
  <si>
    <t>ESTACION DE SERVICIOS LOS OLIVOS S. A. C.</t>
  </si>
  <si>
    <t>AV. UNIVERSITARIA CDRA. 51, ESQUINA CON CALLE A</t>
  </si>
  <si>
    <t>C1:6660:Diesel B5 S-50 </t>
  </si>
  <si>
    <t>C1:5330:GASOHOL 95 PLUS </t>
  </si>
  <si>
    <t>C1:5330:GASOHOL 90 PLUS </t>
  </si>
  <si>
    <t>DIONISIO FELICIANO AZAÑERO SALCEDO</t>
  </si>
  <si>
    <t>14691-056-121219</t>
  </si>
  <si>
    <t>AV. JOSE GALVEZ BARRENECHEA ESQ. CON LA CALLE 32</t>
  </si>
  <si>
    <t>SAN BORJA</t>
  </si>
  <si>
    <t>60862-056-250620</t>
  </si>
  <si>
    <t>INVERSIONES VIDAGAS S.A.C.</t>
  </si>
  <si>
    <t>AV. RICARDO PALMA N° 898</t>
  </si>
  <si>
    <t>C1:3000:GASOLINA 84 </t>
  </si>
  <si>
    <t>C1:3000:GASOLINA 90 </t>
  </si>
  <si>
    <t>ROSSANA SAAVEDRA PISCO</t>
  </si>
  <si>
    <t>41292-056-020216</t>
  </si>
  <si>
    <t>ESTACION DE SERVICIOS SERVIKYA S.A.C.</t>
  </si>
  <si>
    <t>CARRETERA PANAM. NORTE KM.169+033, SUB LOTE 2,PARCELA 43, PREDIO LA CHILAMPA CENTRO POBLADO MENOR MEDIO MUNDO</t>
  </si>
  <si>
    <t>VEGUETA</t>
  </si>
  <si>
    <t>C1:879:GASOHOL 84 PLUS </t>
  </si>
  <si>
    <t>C1:499:GASOHOL 90 PLUS </t>
  </si>
  <si>
    <t>C1:499:SIN PRODUCTO </t>
  </si>
  <si>
    <t>C1:1500:GASOHOL 95 PLUS C2:1500:GASOHOL 97 PLUS </t>
  </si>
  <si>
    <t>PAUL NESTOR HUERTA CHAVEZ</t>
  </si>
  <si>
    <t>128269-056-070520</t>
  </si>
  <si>
    <t>BRISMAR EIRL</t>
  </si>
  <si>
    <t>AV. UNIVERSITARIA S/N, SECTOR BRUJO PATA - MZ. B - LOTE 1</t>
  </si>
  <si>
    <t>BAGUA</t>
  </si>
  <si>
    <t>C1:3600:GASOLINA 84 </t>
  </si>
  <si>
    <t>C1:2700:GASOLINA 90 </t>
  </si>
  <si>
    <t>C1:2700:GASOLINA 95 </t>
  </si>
  <si>
    <t>ROGELIO JACOB VASQUEZ MENDOZA</t>
  </si>
  <si>
    <t>62628-056-241020</t>
  </si>
  <si>
    <t>AV. INDUSTRIAL Nº 415 CON AVENIDA TARATA Y PASAJE S/N</t>
  </si>
  <si>
    <t>119126-056-081017</t>
  </si>
  <si>
    <t>ESTACIONES DE SERVICIO CESAR E.I.R.L.</t>
  </si>
  <si>
    <t>CARRETERA FERNANDO BELAUNDE TERRY KM 3 MZ 056 LOTE 10 URB. NUEVA ESPERANZA</t>
  </si>
  <si>
    <t>LUYANDO</t>
  </si>
  <si>
    <t>C1:4000:Diesel B5 S-50 C2:3500:GASOHOL 90 PLUS C3:2500:GASOHOL 95 PLUS </t>
  </si>
  <si>
    <t>CESAR AURELIO GOMEZ LIMAYMANTA</t>
  </si>
  <si>
    <t>37839-056-250620</t>
  </si>
  <si>
    <t>MICHUE INVERSIONES Y SERVICIOS GENERALES S.A.C.</t>
  </si>
  <si>
    <t>JR. FREDDY ALIAGA Nº 909</t>
  </si>
  <si>
    <t>C1:4000:GASOLINA 90 </t>
  </si>
  <si>
    <t>C1:4000:GASOLINA 84 </t>
  </si>
  <si>
    <t>CARMEN MICHUE MENDOZA DE MUÑOZ</t>
  </si>
  <si>
    <t>88618-056-220818</t>
  </si>
  <si>
    <t>GRUPO DE GESTION C S.A.</t>
  </si>
  <si>
    <t>AV. GERARDO UNGER Nº 4885, URB NARANJAL</t>
  </si>
  <si>
    <t>C1:2000:GASOHOL 90 PLUS C2:2000:GASOHOL 90 PLUS </t>
  </si>
  <si>
    <t>ROSARIO AMANDA CÁCERES ALIAGA</t>
  </si>
  <si>
    <t>36621-056-131218</t>
  </si>
  <si>
    <t>VIA DE EVITAMIENTO CON PROLONGACION ANGAMOS LOTE 28 URB. JARDIN</t>
  </si>
  <si>
    <t>C1:9332:Diesel B5 S-50 </t>
  </si>
  <si>
    <t>C1:6200:GASOHOL 90 PLUS </t>
  </si>
  <si>
    <t>C1:3075:GASOHOL 97 PLUS C2:3075:GASOHOL 95 PLUS </t>
  </si>
  <si>
    <t>C1:3075:Diesel B5 S-50 </t>
  </si>
  <si>
    <t>GUILLERMO ROJAS HERNANDEZ</t>
  </si>
  <si>
    <t>119998-056-230216</t>
  </si>
  <si>
    <t xml:space="preserve">ESTACION DE SERVICIOS YOLITA S.A.C. </t>
  </si>
  <si>
    <t xml:space="preserve">AV. MERCEDES INDACOCHEA 201 </t>
  </si>
  <si>
    <t>HUACHO</t>
  </si>
  <si>
    <t>C1:2750:GASOHOL 95 PLUS C2:2750:GASOHOL 98 PLUS </t>
  </si>
  <si>
    <t>YOLANDA BAZALAR AZABACHE DE LUNA</t>
  </si>
  <si>
    <t>111707-056-020820</t>
  </si>
  <si>
    <t>MULTISERVICIOS SEÑOR DE LOS MILAGROS S.R.L.</t>
  </si>
  <si>
    <t>AV. ALAMEDA MARGINAL SUR N° 2513</t>
  </si>
  <si>
    <t>C1:4000:GASOHOL 90 PLUS C2:3000:GASOHOL 84 PLUS C3:3000:GASOHOL 95 PLUS </t>
  </si>
  <si>
    <t>ISABEL VALENCIA LOBATO</t>
  </si>
  <si>
    <t>17865-056-120320</t>
  </si>
  <si>
    <t>AV. EL RETABLO ESQUINA CON CALLE 6, MZ. C, LOTE 1, URB. EL RETABLO</t>
  </si>
  <si>
    <t>C1:1500:GASOHOL 97 PLUS C2:1500:SIN PRODUCTO </t>
  </si>
  <si>
    <t>18458-056-130217</t>
  </si>
  <si>
    <t>ESTACION DE SERVICIOS SUD AMERICA S.R.L.</t>
  </si>
  <si>
    <t>PROLONGACION JR. PERU N° 821</t>
  </si>
  <si>
    <t>MORALES</t>
  </si>
  <si>
    <t>C1:9017:GASOLINA 90 </t>
  </si>
  <si>
    <t>C1:9017:GASOLINA 84 </t>
  </si>
  <si>
    <t>C1:9391:DIESEL B5,Diesel B5 S-50 </t>
  </si>
  <si>
    <t>C1:4068:GASOLINA 95 </t>
  </si>
  <si>
    <t>87887-056-111219</t>
  </si>
  <si>
    <t>AV. AMERICA NORTE N° 1085, MZ. I LOTE 27,ESQUINA CON AV. 09 DE OCTUBRE URB. LOS JARDINES</t>
  </si>
  <si>
    <t>C2:6000:DIESEL B5,Diesel B5 S-50 C1:2500:GASOHOL 97 PLUS C2:6000:DIESEL B5,Diesel B5 S-50 </t>
  </si>
  <si>
    <t>C1:3000:GASOHOL 95 PLUS C2:3000:GASOHOL 90 PLUS </t>
  </si>
  <si>
    <t>16616-056-020119</t>
  </si>
  <si>
    <t>ESQ. DE LA AV. DEFENSORES DEL MORRO N° 360 CON LA AV. ALFONSO UGARTE</t>
  </si>
  <si>
    <t>C1:3000:GASOHOL 97 PLUS C2:2000:GASOHOL 97 PLUS </t>
  </si>
  <si>
    <t>7702-056-120519</t>
  </si>
  <si>
    <t>ESTACION DE SERVICIOS HUAURA S.A.C.</t>
  </si>
  <si>
    <t>CARRETERA PANAMERICANA NORTE KM. 145, ESQUINA CON AV. PERALVILLO N° 2649</t>
  </si>
  <si>
    <t>HUALMAY</t>
  </si>
  <si>
    <t>C1:3316:GASOHOL 95 PLUS </t>
  </si>
  <si>
    <t>C1:3980:GASOHOL 90 PLUS </t>
  </si>
  <si>
    <t>C1:7966:Diesel B5 S-50 </t>
  </si>
  <si>
    <t>104256-056-080718</t>
  </si>
  <si>
    <t xml:space="preserve">INVERSIONES M Y E S.A.C. </t>
  </si>
  <si>
    <t>AV. LAS TORRES MZ. "D" LOTE 14 URB. ALAMEDA DE HUACHIPA</t>
  </si>
  <si>
    <t>C1:2000:GASOHOL 98 PLUS C2:2000:GASOHOL 90 PLUS C3:2000:GASOHOL 95 PLUS </t>
  </si>
  <si>
    <t xml:space="preserve">ESTELA ROSSI YALI AGUILAR </t>
  </si>
  <si>
    <t>40256-056-230320</t>
  </si>
  <si>
    <t>ESTACION DE SERVICIOS EL ALGARROBO E.I.R.L.</t>
  </si>
  <si>
    <t>CARRETERA PANAMERICANA NORTE KN. 1289+702 - AA.HH. CAMPO AMOR</t>
  </si>
  <si>
    <t>ZARUMILLA</t>
  </si>
  <si>
    <t>C1:2000:GASOHOL 84 PLUS C2:1500:GASOHOL 90 PLUS C3:1500:GASOHOL 95 PLUS </t>
  </si>
  <si>
    <t>MERCY YOLANDA GALLEGOS ORDOÑEZ DE ROMERO</t>
  </si>
  <si>
    <t>17852-056-030119</t>
  </si>
  <si>
    <t>CARRETERA PANAMERICANA NORTE KM. 518 ASENTAMIENTO HUMANO CALIFORNIA</t>
  </si>
  <si>
    <t>VIRU</t>
  </si>
  <si>
    <t>C1:3500:Diesel B5 S-50 </t>
  </si>
  <si>
    <t>104953-056-101219</t>
  </si>
  <si>
    <t>AV. LIMA N° 2000, P.J. VILLA POETA JOSE GALVEZ PARCELA B MZ. 159, LOTE 4</t>
  </si>
  <si>
    <t>C1:3313:GASOHOL 90 PLUS </t>
  </si>
  <si>
    <t>C1:3971:GASOHOL 97 PLUS </t>
  </si>
  <si>
    <t>C1:1294:GASOHOL 95 PLUS </t>
  </si>
  <si>
    <t>C1:5260:DIESEL B5 </t>
  </si>
  <si>
    <t>6848-056-281218</t>
  </si>
  <si>
    <t>AV. JOSE GABRIEL CONDORCANQUI N° 1241</t>
  </si>
  <si>
    <t>LA ESPERANZA</t>
  </si>
  <si>
    <t>C1:8200:GASOHOL 90 PLUS </t>
  </si>
  <si>
    <t>107114-056-300620</t>
  </si>
  <si>
    <t>SILYCARP INVERSIONES S.A.C.</t>
  </si>
  <si>
    <t>JR. LAURIAMA MZ B LOTES 3, 4, 5, 6 Y 7 FUNDO PATILLO</t>
  </si>
  <si>
    <t>C1:3000:GASOHOL 95 PLUS C2:1000:GASOHOL 97 PLUS C3:4000:GASOHOL 90 PLUS </t>
  </si>
  <si>
    <t>GUISELA IRIS RIVAS PAHUACHO</t>
  </si>
  <si>
    <t>45724-056-241219</t>
  </si>
  <si>
    <t>SERVICENTRO LA SELVA G Y M S.R.L.</t>
  </si>
  <si>
    <t>CARR. FEDERICO BASADRE MARGEN DER KM 11.150 SECTOR 2 DE MAYO</t>
  </si>
  <si>
    <t>C1:7905:DIESEL B5 </t>
  </si>
  <si>
    <t>C1:3952:GASOLINA 90 C2:3952:GASOLINA 90 </t>
  </si>
  <si>
    <t>C1:3952:DIESEL B5 C2:3952:SIN PRODUCTO </t>
  </si>
  <si>
    <t>14648-056-160118</t>
  </si>
  <si>
    <t>AV. MELGAREJO, ESQ. CON LA AV. UNIVERSIDAD</t>
  </si>
  <si>
    <t>C1:4000:GASOHOL 90 PLUS C2:4000:GASOHOL 97 PLUS </t>
  </si>
  <si>
    <t>C1:4000:Diesel B5 S-50 C2:4000:GASOHOL 97 PLUS </t>
  </si>
  <si>
    <t>20111-056-091020</t>
  </si>
  <si>
    <t>SERVICENTRO ROMA S.C.R.L.</t>
  </si>
  <si>
    <t>CARRETERA FEDERICO BASADRE KM. 165,00 - PAMPA YURAC</t>
  </si>
  <si>
    <t>PADRE ABAD</t>
  </si>
  <si>
    <t>C1:3800:DIESEL B5 </t>
  </si>
  <si>
    <t>C1:2600:GASOLINA 84 C2:2600:GASOLINA 90 </t>
  </si>
  <si>
    <t>C1:5200:DIESEL B5 </t>
  </si>
  <si>
    <t>C1:6600:DIESEL B5 </t>
  </si>
  <si>
    <t>5700:GAS LICUADO DE PETROLEO </t>
  </si>
  <si>
    <t>CARLOS AYRTON NIETO CACHAY</t>
  </si>
  <si>
    <t>131257-056-260519</t>
  </si>
  <si>
    <t>OPERADOR LOGISTICO HALCON ROJO SAC</t>
  </si>
  <si>
    <t xml:space="preserve">ESQUINA AV. ARGENTINA CON CALLE COLOMBIA </t>
  </si>
  <si>
    <t>C1:3500:GASOHOL 90 PLUS C3:1500:GASOHOL 95 PLUS </t>
  </si>
  <si>
    <t>C2:2000:GASOHOL 84 PLUS </t>
  </si>
  <si>
    <t>FLOR DE ROSARIO VASQUEZ PINEDO</t>
  </si>
  <si>
    <t>34592-056-050320</t>
  </si>
  <si>
    <t>INVERSIONES PUQUIN S.A.C</t>
  </si>
  <si>
    <t>AV. PROLONGACION ANTONIO LORENA S/N.</t>
  </si>
  <si>
    <t>CUSCO</t>
  </si>
  <si>
    <t>SANTIAGO</t>
  </si>
  <si>
    <t>YOLA CIRILA FLOREZ GARCIA</t>
  </si>
  <si>
    <t>135234-056-270318</t>
  </si>
  <si>
    <t>GRIFO ROBLES S.A.C.</t>
  </si>
  <si>
    <t>AV. LAS AMERICAS S/N</t>
  </si>
  <si>
    <t>C1:4500:GASOHOL 97 PLUS C2:4500:GASOHOL 95 PLUS </t>
  </si>
  <si>
    <t>LUIS PERCY ROBLES MENA</t>
  </si>
  <si>
    <t>111223-056-300620</t>
  </si>
  <si>
    <t>REPRESENTACIONES GENERALES CARLOS UYEN E.I.R.L.</t>
  </si>
  <si>
    <t>AV. EL CARMEN S/N, MZ. B, LOTE 1</t>
  </si>
  <si>
    <t>CAMANA</t>
  </si>
  <si>
    <t>SAMUEL PASTOR</t>
  </si>
  <si>
    <t>C1:5244:Diesel B5 S-50 </t>
  </si>
  <si>
    <t>C1:5244:GASOHOL 90 PLUS </t>
  </si>
  <si>
    <t>C1:2622:GASOHOL 95 PLUS C2:2622:Diesel B5 S-50 </t>
  </si>
  <si>
    <t>PABLO RICARDO UYEN BRICEÑO</t>
  </si>
  <si>
    <t>6968-056-260520</t>
  </si>
  <si>
    <t>ESTACION DE SERVICIOS PIURA S.R.L.</t>
  </si>
  <si>
    <t>AV. GRAU N° 1401 ESQUINA CON AV. GULLMAN</t>
  </si>
  <si>
    <t>ALEJANDRO MARTIN LEON TRELLES</t>
  </si>
  <si>
    <t>44237-056-171218</t>
  </si>
  <si>
    <t>MANTARI MANTARI JANETE SOLAIDA</t>
  </si>
  <si>
    <t>CARRETERA ICA - LOS AQUIJES - SUB LOTE N° 5-A SECTOR SUNAMPE</t>
  </si>
  <si>
    <t>63381-056-190820</t>
  </si>
  <si>
    <t>EMPRESA COMUNAL DE SERVICIOS MULTIPLES RANCAS - ECOSERM RANCAS</t>
  </si>
  <si>
    <t>AV. EL MINERO N° 100 ESQUINA CON AV LOS PROCERES MZ A LT 1</t>
  </si>
  <si>
    <t>YANACANCHA</t>
  </si>
  <si>
    <t>C1:3625:Diesel B5 S-50 C2:3625:Diesel B5 S-50 </t>
  </si>
  <si>
    <t>C1:2000:GASOHOL 95 PLUS C2:2000:GASOHOL 97 PLUS C3:3200:GASOHOL 90 PLUS </t>
  </si>
  <si>
    <t>WENCESLAO IVAN ROBLES CHAVEZ</t>
  </si>
  <si>
    <t>8507-056-190820</t>
  </si>
  <si>
    <t>INVERSIONES PETRO GAS S&amp;C E.I.R.L.</t>
  </si>
  <si>
    <t>AV. PROLONGACION MIGUEL GRAU S/N (JUNTO PUENTE LA ACHIRANA)</t>
  </si>
  <si>
    <t>C1:1500:GASOHOL 90 PLUS C2:1500:GASOHOL 95 PLUS </t>
  </si>
  <si>
    <t>GONZALO ALONSO SANCHEZ CABRERA</t>
  </si>
  <si>
    <t>19904-056-280417</t>
  </si>
  <si>
    <t>ESTACION DE SERVICIOS PETROX SAN SEBASTIAN S.A.C.</t>
  </si>
  <si>
    <t>AV. PALIAN N° 1165 - SECTOR PALIAN</t>
  </si>
  <si>
    <t>C1:2600:GASOHOL 97 PLUS </t>
  </si>
  <si>
    <t>144526-056-031219</t>
  </si>
  <si>
    <t>LOTE 1, CON FRENTE A LA AV. HEROES ALTO CENEPA - EX FUNDO CHACRA CERRO</t>
  </si>
  <si>
    <t>63591-056-300517</t>
  </si>
  <si>
    <t>VALNI S.A.C.</t>
  </si>
  <si>
    <t>AV. EL SOL 527A MZ F SUB-LOTE 16A URB. CANTO GRANDE</t>
  </si>
  <si>
    <t>C1:1000:GASOHOL 95 PLUS C2:1000:GASOHOL 90 PLUS </t>
  </si>
  <si>
    <t>C1:600:GASOHOL 97 PLUS </t>
  </si>
  <si>
    <t>MARISOL DELIA ALVARADO UNSIHUAY</t>
  </si>
  <si>
    <t>18618-056-210819</t>
  </si>
  <si>
    <t>INVERSIONES JAVES S.R.L.</t>
  </si>
  <si>
    <t>AV. JUAN R. CASTRO S/N</t>
  </si>
  <si>
    <t>HUERTAS</t>
  </si>
  <si>
    <t>C1:1500:Diesel B5 S-50 C2:1500:GASOHOL 97 PLUS </t>
  </si>
  <si>
    <t>C1:2000:GASOHOL 90 PLUS C2:4500:Diesel B5 S-50 </t>
  </si>
  <si>
    <t xml:space="preserve">VICTORIA ANA ESCOBAR SANCHEZ </t>
  </si>
  <si>
    <t>124573-056-050220</t>
  </si>
  <si>
    <t>MULTISERVICIOS FADA S.R.L.</t>
  </si>
  <si>
    <t>MZ. 02 SUBLOTE 02 - CENTRO POBLADO CIUDAD DE DIOS (CRUCE A CAJAMARCA)</t>
  </si>
  <si>
    <t>SOCORRO ELENA VELASQUEZ VARGAS</t>
  </si>
  <si>
    <t>8979-056-250419</t>
  </si>
  <si>
    <t xml:space="preserve">AV JUAN TOMIS STACK Nº 205 </t>
  </si>
  <si>
    <t>C1:3929:GASOHOL 84 PLUS C2:3930:GASOHOL 84 PLUS </t>
  </si>
  <si>
    <t>C1:7859:GASOHOL 90 PLUS </t>
  </si>
  <si>
    <t>C1:7859:Diesel B5 S-50 </t>
  </si>
  <si>
    <t>C1:4741:GASOHOL 95 PLUS C2:3683:GASOHOL 97 PLUS </t>
  </si>
  <si>
    <t>88714-056-270819</t>
  </si>
  <si>
    <t>GRANEL INDUSTRIAL S.A.C.</t>
  </si>
  <si>
    <t>AV. PROLONGACION UNION ESQUINA CALLE 08 MZ. S LOTE 06 URB. LOS PORTALES II ETAPA</t>
  </si>
  <si>
    <t>C1:500:GASOHOL 97 PLUS C2:1000:Diesel B5 S-50 C3:1000:GASOHOL 95 PLUS C4:2500:GASOHOL 90 PLUS </t>
  </si>
  <si>
    <t>HUMBERTO ALEJANDRO LAZO MALDONADO</t>
  </si>
  <si>
    <t>14446-056-100118</t>
  </si>
  <si>
    <t>GRUPO CAMANÁ S.A.C.</t>
  </si>
  <si>
    <t>CARRETERA PANAMERICANA SUR KM. 832</t>
  </si>
  <si>
    <t>C1:2000:Diesel B5 S-50 C2:2000:GASOHOL 84 PLUS </t>
  </si>
  <si>
    <t>C1:2000:Diesel B5 S-50 C2:2000:Diesel B5 S-50 </t>
  </si>
  <si>
    <t>MIRIAM JANET LUQUE MEDINA</t>
  </si>
  <si>
    <t>125970-056-100920</t>
  </si>
  <si>
    <t>SUE HELLEN BRUN LOZADA</t>
  </si>
  <si>
    <t>INTERSECCIÓN CARRETERA CHULUCANAS HUAPALAS – PREDIO HUAPALAS RR.CC. 18667</t>
  </si>
  <si>
    <t>MORROPON</t>
  </si>
  <si>
    <t>CHULUCANAS</t>
  </si>
  <si>
    <t>94735-056-101219</t>
  </si>
  <si>
    <t>CARRETERA PANAMERICANA SUR KM 97.5 LOTE 30, FUNDO LA QUERENCIA</t>
  </si>
  <si>
    <t>8245-056-040320</t>
  </si>
  <si>
    <t>ESTACION DE SERVICIOS SAN JOSE ESPINAR-CUSCO S.R.L.</t>
  </si>
  <si>
    <t>AV. PROGRESO N° 391</t>
  </si>
  <si>
    <t>C1:3000:Diesel B5 S-50 C2:2000:Diesel B5 S-50 </t>
  </si>
  <si>
    <t>LUIS ALBERTO PEZO HUAYLLA</t>
  </si>
  <si>
    <t>103866-056-251020</t>
  </si>
  <si>
    <t>ESTACION DE SERVICIOS NEYKAR E.I.R.L.</t>
  </si>
  <si>
    <t>CARRETERA PICHARI-NATIVIDAD KM. 1.65 - PICHARI ALTO</t>
  </si>
  <si>
    <t>LA CONVENCION</t>
  </si>
  <si>
    <t>PICHARI</t>
  </si>
  <si>
    <t>C1:2000:GASOHOL 84 PLUS C2:2000:Diesel B5 S-50 </t>
  </si>
  <si>
    <t>C1:12000:Diesel B5 S-50 </t>
  </si>
  <si>
    <t>C1:12000:GASOHOL 90 PLUS </t>
  </si>
  <si>
    <t>C1:5000:GASOHOL 90 PLUS C2:4000:GASOHOL 95 PLUS C3:3000:GASOHOL 97 PLUS </t>
  </si>
  <si>
    <t>WILBER CONSTANTINO PAREDES CHUCHON</t>
  </si>
  <si>
    <t>63993-056-060117</t>
  </si>
  <si>
    <t>GRUPO DE INVERSIONES TAMASSON S.R.L.</t>
  </si>
  <si>
    <t>AV. LA BOHEMIA TACNEÑA S/N, MZ S-1, LOTE 1, 2, 34, 35 Y 36</t>
  </si>
  <si>
    <t>C1:2400:GASOHOL 84 PLUS </t>
  </si>
  <si>
    <t>C1:2400:GASOHOL 90 PLUS </t>
  </si>
  <si>
    <t>C1:2400:GASOHOL 95 PLUS </t>
  </si>
  <si>
    <t>C1:6582:Diesel B5 S-50 </t>
  </si>
  <si>
    <t>AMERICO FRANCISCO TICONA CHALCO</t>
  </si>
  <si>
    <t>35118-056-251119</t>
  </si>
  <si>
    <t>SHILCAYO GRIFO S.R.LTDA.</t>
  </si>
  <si>
    <t>CARRETERA FERNANDO BELAUNDE TERRY KM. 5 - SECTOR LA PLANICIE</t>
  </si>
  <si>
    <t>C1:3000:GASOHOL 90 PLUS C2:3000:Diesel B5 S-50 </t>
  </si>
  <si>
    <t>REATEGUI PAREDES ALFONSO</t>
  </si>
  <si>
    <t>0004-EGLP-11-2009</t>
  </si>
  <si>
    <t>AV. LAS AMERICAS - ESQ. CON CALLE PEDEMONTE</t>
  </si>
  <si>
    <t>SAN ANDRES</t>
  </si>
  <si>
    <t>C1:9272:DIESEL B2 </t>
  </si>
  <si>
    <t>C1:9272:GASOLINA 84 </t>
  </si>
  <si>
    <t>C1:1000:GASOLINA 95 C2:7272:GASOLINA 90 C3:1000:GASOLINA 90 </t>
  </si>
  <si>
    <t>C1:9272:SIN PRODUCTO </t>
  </si>
  <si>
    <t>37714-056-260319</t>
  </si>
  <si>
    <t xml:space="preserve">CONSORCIO ICA S.A.C. </t>
  </si>
  <si>
    <t>CARRETERA ICA-PARCONA KM. 1.1</t>
  </si>
  <si>
    <t>C1:2000:GASOHOL 84 PLUS C2:4000:GASOHOL 90 PLUS </t>
  </si>
  <si>
    <t>TITO ROLANDO PANDURO CALDAS</t>
  </si>
  <si>
    <t>84187-056-020318</t>
  </si>
  <si>
    <t>GRIFO ALEX S.A.C.</t>
  </si>
  <si>
    <t>CARRETERA CHICLAYO - CHONGOYAPE KM 25 +100 100 SECTOR CRUZ TRES DE MAYO - POSOPE ALTO</t>
  </si>
  <si>
    <t>PATAPO</t>
  </si>
  <si>
    <t>C1:500:GASOHOL 95 PLUS C2:500:GASOHOL 95 PLUS </t>
  </si>
  <si>
    <t>ARMANDINA LLAMO DIAZ</t>
  </si>
  <si>
    <t>107025-056-171018</t>
  </si>
  <si>
    <t>AV. AMERICA OESTE N° 201 MZ. F LOTE 13 URB. LOS CEDROS</t>
  </si>
  <si>
    <t>C1:3253:Diesel B5 S-50 C2:1391:GASOHOL 95 PLUS C3:1391:GASOHOL 90 PLUS C4:662:GASOHOL 97 PLUS </t>
  </si>
  <si>
    <t xml:space="preserve">HUMBERTO ALEJANDRO LAZO MALDONADO </t>
  </si>
  <si>
    <t>102353-056-261020</t>
  </si>
  <si>
    <t>ESTACION DE SERVICIOS FLORES S.A.C.</t>
  </si>
  <si>
    <t>CALLE REAL N° 1512 - CHILCA</t>
  </si>
  <si>
    <t>C1:3500:GASOHOL 95 PLUS C2:2198:GASOHOL 97 PLUS C3:4500:GASOHOL 90 PLUS </t>
  </si>
  <si>
    <t>ELIAS FLORES CARHUAMACA</t>
  </si>
  <si>
    <t>147872-056-091219</t>
  </si>
  <si>
    <t>ESTACION DE SERVICIOS SAN JOSE S.A.C.</t>
  </si>
  <si>
    <t>SUB LOTE A SECTOR HUANCHAQUITO ALTO, VALLE MOCHE - HUANCHACO</t>
  </si>
  <si>
    <t>C1:3000:GASOHOL 84 PLUS C2:7000:GASOHOL 90 PLUS </t>
  </si>
  <si>
    <t>GUNTER MARTIN CASTILLO GALLO</t>
  </si>
  <si>
    <t>18565-056-081017</t>
  </si>
  <si>
    <t>SATURNINA TENORIO Y CIA. S.R.L.</t>
  </si>
  <si>
    <t>AV. LITORAL S/N, SECTOR PARA GRANDE</t>
  </si>
  <si>
    <t>JOSE HUMBERTO MAMANI TENORIO</t>
  </si>
  <si>
    <t>16706-056-091014</t>
  </si>
  <si>
    <t>CLARIGO S.A.C.</t>
  </si>
  <si>
    <t>AV. CRUZ DE MOTUPE MZ N 1 LOTE 1, AA HH MONTENEGRO</t>
  </si>
  <si>
    <t>C1:6000:GASOLINA 84 </t>
  </si>
  <si>
    <t>C1:4000:Diesel B5 S-50,GASOLINA 90 </t>
  </si>
  <si>
    <t>C1:6000:DIESEL B2,GASOHOL 95 PLUS </t>
  </si>
  <si>
    <t>MARTHA LILIANA GONZALES VIDAL</t>
  </si>
  <si>
    <t>6866-056-101219</t>
  </si>
  <si>
    <t>MACAMIGER S.A.C.</t>
  </si>
  <si>
    <t>PANAMERICANA SUR KM. 232</t>
  </si>
  <si>
    <t>TUPAC AMARU INCA</t>
  </si>
  <si>
    <t>C1:2750:GASOHOL 95 PLUS </t>
  </si>
  <si>
    <t>CARLOS MANUEL ALIAGA MEZA</t>
  </si>
  <si>
    <t>140708-056-110919</t>
  </si>
  <si>
    <t>NEGOCIACIONES MIRANAVES E.I.R.L.</t>
  </si>
  <si>
    <t>CARRETERA MARGINAL SATIPO – MAZAMARI KM 3</t>
  </si>
  <si>
    <t>C1:4000:GASOHOL 84 PLUS C2:6000:GASOHOL 90 PLUS </t>
  </si>
  <si>
    <t>C1:8500:Diesel B5 S-50 C2:1500:GASOHOL 97 PLUS </t>
  </si>
  <si>
    <t xml:space="preserve">PALACIOS GAMARRA ROSS MIRIAM </t>
  </si>
  <si>
    <t>21384-056-261015</t>
  </si>
  <si>
    <t>ESTACION DE SERVICIOS BELLAVISTA S.A.C.</t>
  </si>
  <si>
    <t>CARRETERA CENTRAL KM. 7 SECTOR BELLAVISTA</t>
  </si>
  <si>
    <t>C1:9100:GASOHOL 95 PLUS </t>
  </si>
  <si>
    <t>C1:9100:DIESEL B5 </t>
  </si>
  <si>
    <t>ALICIA MARTA SOLANO DE MENDOZA</t>
  </si>
  <si>
    <t>15224-056-180820</t>
  </si>
  <si>
    <t>ESTACION DE SERVICIO MULTIPLES SAN MARTIN E.I.R.L.</t>
  </si>
  <si>
    <t>CARRETERA MARGINAL KM. 13 MZ Q, URB. BERNABÉ OSCO</t>
  </si>
  <si>
    <t>AGUILIZA CARRASCO MEZA</t>
  </si>
  <si>
    <t>6996-056-170717</t>
  </si>
  <si>
    <t>GASOLINERAS S.A.C.</t>
  </si>
  <si>
    <t>AV. HUAYLAS 2355</t>
  </si>
  <si>
    <t>C1:6300:Diesel B5 S-50 </t>
  </si>
  <si>
    <t>C1:6300:GASOHOL 90 PLUS </t>
  </si>
  <si>
    <t>C1:6300:GASOHOL 84 PLUS </t>
  </si>
  <si>
    <t>C1:3950:GASOHOL 95 PLUS </t>
  </si>
  <si>
    <t>C1:3950:GASOHOL 97 PLUS </t>
  </si>
  <si>
    <t>DAVID CORDOVA GONZALES</t>
  </si>
  <si>
    <t>34604-056-120517</t>
  </si>
  <si>
    <t>ESTACION DE SERVICIOS SANTA TERESA DE JESUS S.A.C.</t>
  </si>
  <si>
    <t>CARRETERA CENTRAL N° 538</t>
  </si>
  <si>
    <t>FLOR DOMITILA NUÑEZ PALACIOS DE PECHO</t>
  </si>
  <si>
    <t>16608-056-090715</t>
  </si>
  <si>
    <t>AV. LAS FLORES Nº 750, URB. SANTA MARIA</t>
  </si>
  <si>
    <t>C1:4000:GASOLINA 97 </t>
  </si>
  <si>
    <t>C1:8000:GASOLINA 90 </t>
  </si>
  <si>
    <t>38324-056-140920</t>
  </si>
  <si>
    <t>ESTACION DE SERVICIOS CHASQUI E.I.R.LTDA</t>
  </si>
  <si>
    <t>AV. TÚPAC AMARU N° 1918</t>
  </si>
  <si>
    <t>KIMBIRI</t>
  </si>
  <si>
    <t>C1:3500:SIN PRODUCTO </t>
  </si>
  <si>
    <t>C1:800:SIN PRODUCTO </t>
  </si>
  <si>
    <t>C1:4500:GASOHOL 95 PLUS C2:4500:Diesel B5 S-50 </t>
  </si>
  <si>
    <t xml:space="preserve">WALTER DELGADO GALINDO </t>
  </si>
  <si>
    <t>17885-056-140920</t>
  </si>
  <si>
    <t>STACION CASUARINAS S.A.C.</t>
  </si>
  <si>
    <t>AV. PACIFICO MZ. A-1 LOTES 8, 9, 18, 19 Y 20 URB. LAS CASUARINAS</t>
  </si>
  <si>
    <t>C1:2000:GASOHOL 90 PLUS C2:2000:GASOHOL 97 PLUS </t>
  </si>
  <si>
    <t>C1:4000:GASOHOL 95 PLUS C2:5000:Diesel B5 S-50 </t>
  </si>
  <si>
    <t>JOSUE NORIEGA RAVELO</t>
  </si>
  <si>
    <t>14569-056-010219</t>
  </si>
  <si>
    <t>AV. CARRETERA PANAMERICANA NORTE KM. 196 (ANTES CARRETERA PANAMERICANA NORTE INTERSECCION CON LA AV. A)</t>
  </si>
  <si>
    <t>8000:GAS LICUADO DE PETROLEO </t>
  </si>
  <si>
    <t>18417-056-110520</t>
  </si>
  <si>
    <t>ESTACION DE SERVICIOS ABAFI S.A.C.</t>
  </si>
  <si>
    <t>CARRETERA PANAMERICANA NORTE KM. 970 - CASERÍO SAN PABLO</t>
  </si>
  <si>
    <t>C1:1000:GASOHOL 84 PLUS C2:3400:GASOHOL 90 PLUS </t>
  </si>
  <si>
    <t>CARLOS MIGUEL BAYONA ZAPATA</t>
  </si>
  <si>
    <t>9602-056-050618</t>
  </si>
  <si>
    <t>AGD ESTACIONES S.A.C.</t>
  </si>
  <si>
    <t>AV. ENRIQUE MEIGGS N° 730 - P. J. FLORIDA BAJA</t>
  </si>
  <si>
    <t>CARLOS DÍAZ GARCÍA</t>
  </si>
  <si>
    <t>145865-056-140819</t>
  </si>
  <si>
    <t>ESTACION DE SERVICIOS EL SOL DE TACNA S.A.C.</t>
  </si>
  <si>
    <t>SUB LOTE F - ZONA PAGO AYMARA, ESQ. AV JORGE BASADRE GROHMANN OESTE CON AV. 2 DE MAYO</t>
  </si>
  <si>
    <t>C1:5000:GASOHOL 90 PLUS C2:3000:GASOHOL 95 PLUS C3:2000:GASOHOL 98 PLUS </t>
  </si>
  <si>
    <t>85477-056-200819</t>
  </si>
  <si>
    <t>CGHL S.A.C.</t>
  </si>
  <si>
    <t>AV. CESAR VALLEJO MZ. 46 SUB LOTES C2-1A C2-1B URB LA RINCONADA IV ETAPA</t>
  </si>
  <si>
    <t>C1:5550:Diesel B5 S-50 </t>
  </si>
  <si>
    <t>C1:1850:GASOHOL 90 PLUS C2:3650:GASOHOL 95 PLUS </t>
  </si>
  <si>
    <t>128699-056-040919</t>
  </si>
  <si>
    <t>ESTACION DE SERVICIOS Y GASOCENTRO ANGULO S.A.C.</t>
  </si>
  <si>
    <t>AV. JACINTO IBARRA N°800 INTERSECCION CON EL JR. 2 DE MAYO</t>
  </si>
  <si>
    <t>C1:3000:GASOHOL 90 PLUS C2:1500:GASOHOL 95 PLUS C3:1500:GASOHOL 90 PLUS </t>
  </si>
  <si>
    <t>EDWIN EDSON ANGULO MANRIQUE</t>
  </si>
  <si>
    <t>8958-056-070318</t>
  </si>
  <si>
    <t>GRIFO LOS PORTALES S.A.C.</t>
  </si>
  <si>
    <t>AV. ELMER FAUCETT N° 5395</t>
  </si>
  <si>
    <t>C1:2712:GASOHOL 97 PLUS C2:2696:GASOHOL 95 PLUS C3:2710:GASOHOL 90 PLUS </t>
  </si>
  <si>
    <t>C1:7903:Diesel B5 S-50 </t>
  </si>
  <si>
    <t>C1:4086:Diesel B5 S-50 C2:4078:Diesel B5 S-50 </t>
  </si>
  <si>
    <t>YRMA MICAELA VASQUEZ VELARDE</t>
  </si>
  <si>
    <t>131924-056-260917</t>
  </si>
  <si>
    <t>CALLE AMAZONAS N° 342-344-348-360</t>
  </si>
  <si>
    <t>C1:4000:DIESEL B5 C2:1500:GASOHOL 95 PLUS </t>
  </si>
  <si>
    <t>C1:3000:GASOHOL 90 PLUS C2:1500:GASOHOL 84 PLUS </t>
  </si>
  <si>
    <t>83962-056-191217</t>
  </si>
  <si>
    <t>GRIFO JHP E.I.R.L.</t>
  </si>
  <si>
    <t>AV. JHON KENNEDY, MZ. D, LOTE Nº 3, URB. INDUSTRIAL CAYRO</t>
  </si>
  <si>
    <t>JACQUELINE HUAMAN SALAS</t>
  </si>
  <si>
    <t>109332-056-071020</t>
  </si>
  <si>
    <t>SERVICENTRO CALIFORNIA S.A.C.</t>
  </si>
  <si>
    <t>MZ. H – LOTES 7,8 Y 9 - URB. CALIFORNIA</t>
  </si>
  <si>
    <t>CASMA</t>
  </si>
  <si>
    <t>MAXIMILIANO MARTÍN GOIN IGLESIAS</t>
  </si>
  <si>
    <t>43020-056-010918</t>
  </si>
  <si>
    <t>ESTACION DE SERVICIOS MARIVEA E.I.R.L.</t>
  </si>
  <si>
    <t>CALLE LOS PATRIOTAS S/N, MZ. I, LOTES 37, 38, 39, 40 Y 41</t>
  </si>
  <si>
    <t>C1:4000:Diesel B5 S-50 C2:1000:Diesel B5 S-50 </t>
  </si>
  <si>
    <t>C1:3000:Diesel B5 S-50 C2:2000:GASOHOL 90 PLUS C3:1000:GASOHOL 97 PLUS </t>
  </si>
  <si>
    <t>MARIA VENTOCILLA ASCARRUZ</t>
  </si>
  <si>
    <t>142314-056-040919</t>
  </si>
  <si>
    <t>AV. PROLONGACIÓN TRUJILLO N°1198</t>
  </si>
  <si>
    <t>C1:5000:GASOHOL 90 PLUS C2:1500:GASOHOL 95 PLUS C3:1500:GASOHOL 97 PLUS </t>
  </si>
  <si>
    <t>124245-056-240917</t>
  </si>
  <si>
    <t>ESTACION DE SERVICIOS R Y L S.A.C.</t>
  </si>
  <si>
    <t>AV. FEDERICO VILLARREAL MZ. 2 LOTES 01 AL 06 URB. LA RINCONADA</t>
  </si>
  <si>
    <t>C1:6500:DIESEL B5,Diesel B5 S-50 </t>
  </si>
  <si>
    <t>C1:3250:GASOHOL 97 PLUS </t>
  </si>
  <si>
    <t>EDGARD JEINER RAMIREZ LAVADO</t>
  </si>
  <si>
    <t>8878-056-200819</t>
  </si>
  <si>
    <t>PROLONGACIÓN AV. CESAR VALLEJO, MZ. 04 LOTES 8 Y 9 ESQUINA CON CALLE BARITINA, URB. LA RINCONADA</t>
  </si>
  <si>
    <t>17872-056-300717</t>
  </si>
  <si>
    <t>SERVICENTRO AVILA E.I.R.L.</t>
  </si>
  <si>
    <t>CARRETERA CENTRAL HUANUCO - TINGO MARIA KM 0.5 CENTRO POBLADO DE LLICUA</t>
  </si>
  <si>
    <t>C1:7800:DIESEL B5,Diesel B5 S-50 </t>
  </si>
  <si>
    <t>C1:7800:GASOHOL 90 PLUS </t>
  </si>
  <si>
    <t>C1:7800:DIESEL B5 </t>
  </si>
  <si>
    <t>C1:3800:GASOHOL 95 PLUS C2:4000:GASOHOL 84 PLUS </t>
  </si>
  <si>
    <t>17847-056-280218</t>
  </si>
  <si>
    <t>ESQUINA AV. PACIFICO Y JIMBE, URB. BUENOS AIRES</t>
  </si>
  <si>
    <t>C1:4000:GASOHOL 98 PLUS C2:4000:GASOHOL 95 PLUS </t>
  </si>
  <si>
    <t>110536-056-090518</t>
  </si>
  <si>
    <t>ESTACIÓN DE SERVICIOS Y GASOCENTRO EL TORITO S.A.C.</t>
  </si>
  <si>
    <t>AV. CORONEL PARRA N° 215</t>
  </si>
  <si>
    <t>C2:3000:GASOHOL 95 PLUS </t>
  </si>
  <si>
    <t>C1:5000:GASOHOL 90 PLUS C3:2000:GASOHOL 97 PLUS </t>
  </si>
  <si>
    <t>141639-056-080319</t>
  </si>
  <si>
    <t>ESTACION DE SERVICIO Y GASOCENTRO LA PERRICHOLI S.R.L.</t>
  </si>
  <si>
    <t>CARRETERA HUÁNUCO – TINGO MARÍA KM 93.7, SECTOR HUACHIPA CENTRO POBLADO PUENTE DURAND</t>
  </si>
  <si>
    <t>C1:6000:GASOHOL 90 PLUS C2:2000:GASOHOL 95 PLUS </t>
  </si>
  <si>
    <t>6500:GAS LICUADO DE PETROLEO </t>
  </si>
  <si>
    <t>TEODOMIRO SANCHEZ RAMIREZ</t>
  </si>
  <si>
    <t>125288-056-230419</t>
  </si>
  <si>
    <t>GRUPO RALIZ S.A.C.</t>
  </si>
  <si>
    <t>INTERSECCIÓN DE VIA DE EVITAMIENTO Y JR. SAN SEBASTIAN</t>
  </si>
  <si>
    <t>PAMPAS</t>
  </si>
  <si>
    <t>C1:5000:GASOHOL 90 PLUS C2:3000:GASOHOL 97 PLUS </t>
  </si>
  <si>
    <t>MARIVEL RAMIREZ LIZARBE</t>
  </si>
  <si>
    <t>138453-056-280820</t>
  </si>
  <si>
    <t>CARRETERA PANAMERICANA NORTE KM 380.5 - SECTOR TABON BAJO</t>
  </si>
  <si>
    <t>COMANDANTE NOEL</t>
  </si>
  <si>
    <t xml:space="preserve">LUIS ALCIDES GALVEZ GUTIERREZ </t>
  </si>
  <si>
    <t>64220-056-030217</t>
  </si>
  <si>
    <t>EMPRESA DE TRANSPORTES CONTINENTE E.I.R.L.</t>
  </si>
  <si>
    <t xml:space="preserve">PREDIO RUSTICO PARCELA 14, PREDIO VISTA FLORIDA, CARRETERA ICA - PARCONA </t>
  </si>
  <si>
    <t>C1:3000:GASOHOL 97 PLUS C2:3000:GASOHOL 84 PLUS </t>
  </si>
  <si>
    <t>ALFONSO CARBAJAL RAMOS</t>
  </si>
  <si>
    <t>142298-056-111019</t>
  </si>
  <si>
    <t>ESTACION SANTA MARIA S.A.C.</t>
  </si>
  <si>
    <t>URB. SANTA MARIA 5TA ETAPA MZ. C-1 LOTE 01</t>
  </si>
  <si>
    <t>C1:3000:GASOHOL 97 PLUS C2:5000:GASOHOL 95 PLUS </t>
  </si>
  <si>
    <t>CALDERON AGUILAR SANTOS FREDY</t>
  </si>
  <si>
    <t>9230-056-200918</t>
  </si>
  <si>
    <t>PETROGAS HOLDING S.A.C.</t>
  </si>
  <si>
    <t>AV. LAS COLINAS N° 366 ESQUINA CON PASAJE LAS MONTAÑAS - PIO PATA</t>
  </si>
  <si>
    <t>140688-056-260820</t>
  </si>
  <si>
    <t>DACOR GAS S.A.C.</t>
  </si>
  <si>
    <t>ESQUINA DE LA AV. LAS AMERICAS Y AV. A LOTES 12, 13, 14, 15, 16</t>
  </si>
  <si>
    <t>C1:2000:GASOHOL 90 PLUS C2:1000:GASOHOL 95 PLUS C3:1000:GASOHOL 97 PLUS </t>
  </si>
  <si>
    <t>WIDMAN CORDOVA ATACHAGUA</t>
  </si>
  <si>
    <t>7474-056-121219</t>
  </si>
  <si>
    <t>ZONA MÁRTIR OLAYA MZ. "D" LOTE 5 (ANTES: CARRETERA PANAMERICANA SUR KM. 43)</t>
  </si>
  <si>
    <t>PUNTA HERMOSA</t>
  </si>
  <si>
    <t>6844-056-020718</t>
  </si>
  <si>
    <t>INVERSIONES LA CANTUTA S.A.C.</t>
  </si>
  <si>
    <t>CARRETERA CENTRAL KM. 36</t>
  </si>
  <si>
    <t>MUQUIYAUYO</t>
  </si>
  <si>
    <t>C1:2800:GASOHOL 84 PLUS </t>
  </si>
  <si>
    <t>C1:3200:GASOHOL 95 PLUS </t>
  </si>
  <si>
    <t>MARISOL ROCIO PALOMINO CANCHARI</t>
  </si>
  <si>
    <t>17868-056-220615</t>
  </si>
  <si>
    <t>INVERSIONES JIARA S.A.C.</t>
  </si>
  <si>
    <t>AV. LAS TORRES N° 508, ESQUINA CON EL JR. MARISCAL ORBEGOSO, URB. EL PINO</t>
  </si>
  <si>
    <t>SAN LUIS</t>
  </si>
  <si>
    <t>CARMEN CANDELARIA ARAMAYO ANDRADE DE JIMENEZ</t>
  </si>
  <si>
    <t>88596-056-140518</t>
  </si>
  <si>
    <t>LEEWARD NORBERTH CARRION BENITES</t>
  </si>
  <si>
    <t>AV. EVITAMIENTO MZ. D, LOTE 1, ESQUINA CON JR. LIBERTAD</t>
  </si>
  <si>
    <t>16682-056-260917</t>
  </si>
  <si>
    <t>GRIFO SERVICENTRO SONIA E.I.R.L.</t>
  </si>
  <si>
    <t>AV. DOS DE MAYO, MZ. I , N° 677</t>
  </si>
  <si>
    <t>MADRE DE DIOS</t>
  </si>
  <si>
    <t>TAMBOPATA</t>
  </si>
  <si>
    <t>C1:5000:GASOLINA 84 </t>
  </si>
  <si>
    <t>JUANA HURTADO CAMPO</t>
  </si>
  <si>
    <t>8682-056-200919</t>
  </si>
  <si>
    <t>SERVICENTRO SAN CRISTOBAL S.R.L.</t>
  </si>
  <si>
    <t xml:space="preserve">PROL. AV DE LA CULTURA S/N URB. TIPO HUERTA VERSALLES A-1 </t>
  </si>
  <si>
    <t>SAN JERONIMO</t>
  </si>
  <si>
    <t>SABINA CORIMANYA DE SURCO</t>
  </si>
  <si>
    <t>8175-056-020218</t>
  </si>
  <si>
    <t>AUTOPISTA HUANCHACO KM. 2 SECTOR HUANCHAQUITO</t>
  </si>
  <si>
    <t>C2:4800:Diesel B5 S-50 </t>
  </si>
  <si>
    <t>C1:2800:GASOHOL 95 PLUS C2:2800:GASOHOL 90 PLUS </t>
  </si>
  <si>
    <t>JOSE ANTONIO GALDOS ZUÑIGA</t>
  </si>
  <si>
    <t>94940-056-041018</t>
  </si>
  <si>
    <t>CARRETERA AMBO - SAN RAFAEL KM. 375 MATIGRANDE</t>
  </si>
  <si>
    <t>C1:1000:GASOHOL 95 PLUS C2:1000:GASOHOL 97 PLUS C3:2000:GASOHOL 90 PLUS </t>
  </si>
  <si>
    <t>C1:8000:Diesel B5 S-50 C2:2000:Diesel B5 S-50 </t>
  </si>
  <si>
    <t>95502-056-030720</t>
  </si>
  <si>
    <t>GRUPO DE GESTION C SOCIEDAD ANONIMA</t>
  </si>
  <si>
    <t>AV. LAS CANTERAS S/N, CENTRO INDUSTRIAL LAS CANTERAS MZ. N, LOTE Nº 02</t>
  </si>
  <si>
    <t>ROSARIO AMANDA CACERES ALIAGA</t>
  </si>
  <si>
    <t>38192-056-110714</t>
  </si>
  <si>
    <t>CONSORCIO KINZUKO S.A.C.</t>
  </si>
  <si>
    <t>AV. CANTA CALLAO - MZ. J, LT. 16, 17, 18 Y 19. URB LAS BRISAS</t>
  </si>
  <si>
    <t>C1:3000:GASOHOL 90 PLUS C2:3000:GASOHOL 98 PLUS </t>
  </si>
  <si>
    <t>C1:3000:SIN PRODUCTO C2:3000:GASOHOL 95 PLUS </t>
  </si>
  <si>
    <t>21353-056-040620</t>
  </si>
  <si>
    <t>CARRETERA PANAMERICANA NORTE CRUCE PIURA - CHICLAYO - CATACAOS LA TINA DE PUNTALA</t>
  </si>
  <si>
    <t>GALVEZ GUTIERREZ LUIS ALCIDES</t>
  </si>
  <si>
    <t>151798-056-131020</t>
  </si>
  <si>
    <t>COMBUSTIBLES DISO S.A.C.</t>
  </si>
  <si>
    <t>CARRETERA JAEN – CHAMAYA KM 11.70 SECTOR MOCHENTA</t>
  </si>
  <si>
    <t>C1:5000:GASOHOL 90 PLUS C2:4000:GASOHOL 95 PLUS </t>
  </si>
  <si>
    <t xml:space="preserve">MIGUEL ANGEL DIAZ CUBAS </t>
  </si>
  <si>
    <t>8580-056-070817</t>
  </si>
  <si>
    <t>CARRETERA PANAMERICANA NORTE KM. 29,5</t>
  </si>
  <si>
    <t>DIEGO ALONSO CARLOS JOSE GONZALES POSADA DE COSSIO</t>
  </si>
  <si>
    <t>17895-056-091219</t>
  </si>
  <si>
    <t>COMBUSTIBLES FERNANDEZ S.A.C.</t>
  </si>
  <si>
    <t>PROLONGACIÓN AV. JOSÉ QUIÑONES N° 1165 - 1175 URB. LAS MERCEDES</t>
  </si>
  <si>
    <t>C1:2700:GASOHOL 84 PLUS </t>
  </si>
  <si>
    <t>YONY BELLO FERNANDEZ VÁSQUEZ</t>
  </si>
  <si>
    <t>7164-056-200219</t>
  </si>
  <si>
    <t>AUSTRAL STAR S.A.C.</t>
  </si>
  <si>
    <t>AV. SAN MARTIN N° 833</t>
  </si>
  <si>
    <t>C1:1500:GASOHOL 95 PLUS C2:1500:GASOHOL 97 PLUS C3:3000:GASOHOL 84 PLUS </t>
  </si>
  <si>
    <t>YAIR LEE ESPINOZA ENRIQUE</t>
  </si>
  <si>
    <t>19849-056-080219</t>
  </si>
  <si>
    <t>ESCEN S.A.C.</t>
  </si>
  <si>
    <t>AV. AREQUIPA CUADRA Nº 1, S/N</t>
  </si>
  <si>
    <t>ALTO SELVA ALEGRE</t>
  </si>
  <si>
    <t>LUIS ARMANDO CASQUINO SALCEDO</t>
  </si>
  <si>
    <t>139803-056-110319</t>
  </si>
  <si>
    <t>GRIFO DEL CARMEN NUEVA PANAMERICANA S.A.C</t>
  </si>
  <si>
    <t>FUNDO POZUELO NORTE, AUTOPISTA PANAMERICANA SUR KM 204</t>
  </si>
  <si>
    <t>EL CARMEN</t>
  </si>
  <si>
    <t>C1:4000:GASOHOL 95 PLUS C2:2000:GASOHOL 90 PLUS C3:2000:GASOHOL 98 PLUS </t>
  </si>
  <si>
    <t>HOEFSLOOT JAN HERMAN PIET</t>
  </si>
  <si>
    <t>110414-056-161219</t>
  </si>
  <si>
    <t>MZ. A LOTE 2 - CARRETERA PANAMERICANA NORTE KM 425 - PROGRAMA DE VIVIENDA HUP VILLA MARIA - SUB LOTE B2</t>
  </si>
  <si>
    <t>C1:3000:GASOHOL 84 PLUS C2:3000:GASOHOL 97 PLUS </t>
  </si>
  <si>
    <t>84478-056-290812</t>
  </si>
  <si>
    <t>AV. SEPÚLVEDA N° 434 ESQUINA CON AV. TENIENTE FERRE</t>
  </si>
  <si>
    <t>C1:6000:GASOHOL 90 PLUS PD </t>
  </si>
  <si>
    <t>C1:3000:GASOHOL 84 PLUS C2:3000:GASOHOL 95 PLUS </t>
  </si>
  <si>
    <t>RAÚL LLAMOSAS CARBAJAL</t>
  </si>
  <si>
    <t>19988-056-221020</t>
  </si>
  <si>
    <t>INVERSIONES GARAY S.R.L.</t>
  </si>
  <si>
    <t>AV. HUANCARAY MZ. A-6, LOTES DEL 44 AL 47, URB. LAS FLORES</t>
  </si>
  <si>
    <t>SANTA ANITA</t>
  </si>
  <si>
    <t>PEDRO FERNANDO GALVEZ DORREGARAY</t>
  </si>
  <si>
    <t>33329-056-121219</t>
  </si>
  <si>
    <t>AV. RAMON CASTILLA N° 921</t>
  </si>
  <si>
    <t>C1:4550:Diesel B5 S-50 </t>
  </si>
  <si>
    <t>C1:4550:GASOHOL 90 PLUS </t>
  </si>
  <si>
    <t>C1:2650:GASOHOL 95 PLUS C2:2650:SIN PRODUCTO </t>
  </si>
  <si>
    <t>C1:2650:GASOHOL 84 PLUS C2:2650:Diesel B5 S-50 </t>
  </si>
  <si>
    <t>61136-056-171017</t>
  </si>
  <si>
    <t>RAPIGRIFOS S.A.C.</t>
  </si>
  <si>
    <t>AV REPUBLICA DE PANAMA Nº 5185</t>
  </si>
  <si>
    <t>SURQUILLO</t>
  </si>
  <si>
    <t>15196-056-111219</t>
  </si>
  <si>
    <t>PANAMERICANA SUR KM. 138 AV. 28 DE JULIO N 216</t>
  </si>
  <si>
    <t>C1:10400:GASOHOL 90 PLUS </t>
  </si>
  <si>
    <t>C1:5200:GASOHOL 97 PLUS </t>
  </si>
  <si>
    <t>C1:5200:GASOHOL 95 PLUS </t>
  </si>
  <si>
    <t>45698-056-150520</t>
  </si>
  <si>
    <t>GASOCENTRO LA ALBORADA S.R.L.</t>
  </si>
  <si>
    <t>CARRETERA PANAMERICANA NORTE KM. 1270</t>
  </si>
  <si>
    <t>C1:1500:GASOHOL 84 PLUS C2:3500:Diesel B5 S-50 </t>
  </si>
  <si>
    <t>C1:1300:GASOHOL 95 PLUS C2:1300:GASOHOL 90 PLUS C3:2500:GASOHOL 90 PLUS </t>
  </si>
  <si>
    <t>ALEX FRANCISCO ORTIZ CALERO</t>
  </si>
  <si>
    <t>21148-056-111020</t>
  </si>
  <si>
    <t>COMERCIALIZADORA DE COMBUSTIBLES FERNANDEZ HERMANOS S.R.L.</t>
  </si>
  <si>
    <t>AV. JOSE GRANDA N° 301</t>
  </si>
  <si>
    <t>RAÚL FERNÁNDEZ CRUZ</t>
  </si>
  <si>
    <t>31653-056-010219</t>
  </si>
  <si>
    <t>EL OASIS DE ICA S.A.C.</t>
  </si>
  <si>
    <t>CARRETERA PANAMERICANA SUR KM. 298.2 - EX-CAU MAMACONA</t>
  </si>
  <si>
    <t>C1:3000:GASOHOL 90 PLUS C2:2000:GASOHOL 84 PLUS C3:2000:GASOHOL 95 PLUS C4:2000:GASOHOL 97 PLUS </t>
  </si>
  <si>
    <t>C1:3267:SIN PRODUCTO C2:3267:SIN PRODUCTO </t>
  </si>
  <si>
    <t>C1:6534:SIN PRODUCTO </t>
  </si>
  <si>
    <t>ERASMO ERNESTO GUEVARA SARMIENTO</t>
  </si>
  <si>
    <t>7494-056-051018</t>
  </si>
  <si>
    <t>AV. PERU Nº 318 - 322</t>
  </si>
  <si>
    <t>C1:5400:GASOHOL 95 PLUS </t>
  </si>
  <si>
    <t>145990-056-270919</t>
  </si>
  <si>
    <t>SANTA ANA GRUPO EMPRESARIAL S.A.C.</t>
  </si>
  <si>
    <t>REMANENTE II - REMANENTE 2A, PARC. 146 - ZONA PREDIO VICHAYCOTO</t>
  </si>
  <si>
    <t>C1:5000:GASOHOL 90 PLUS C2:3000:GASOHOL 95 PLUS C3:2000:GASOHOL 97 PLUS </t>
  </si>
  <si>
    <t xml:space="preserve">WILLIAM FERNANDO PALACIOS ALMERCO </t>
  </si>
  <si>
    <t>18839-056-190917</t>
  </si>
  <si>
    <t>ESTACION GAS EL OLAM E.I.R.L</t>
  </si>
  <si>
    <t>CARRETERA HUANUCO - TINGO MARIA KM. 1 (ANTES KM 0.5)</t>
  </si>
  <si>
    <t>C1:3000:GASOHOL 90 PLUS C2:3000:GASOHOL 95 PLUS C3:3000:GASOHOL 97 PLUS </t>
  </si>
  <si>
    <t>AYDE RAMOS MATEOS</t>
  </si>
  <si>
    <t>101850-056-180414</t>
  </si>
  <si>
    <t xml:space="preserve">INVERSIONES PERCY CAR S.R.L. </t>
  </si>
  <si>
    <t>SECTOR 1 GRUPO 25A - MZ. I, LT. 1</t>
  </si>
  <si>
    <t>C1:1600:GASOHOL 97 PLUS C2:1700:GASOHOL 90 PLUS C3:1600:GASOHOL 95 PLUS </t>
  </si>
  <si>
    <t>NIEVES VICENTE CIPRIANO</t>
  </si>
  <si>
    <t>117371-056-030220</t>
  </si>
  <si>
    <t>MULTISERVICIOS E INVERSIONES ANDERSON E.I.R.L.</t>
  </si>
  <si>
    <t>PARCELA 3 SECTOR SAN CRISTOBAL CARRETERA DE LLATA A SINGA</t>
  </si>
  <si>
    <t>HUAMALIES</t>
  </si>
  <si>
    <t>LLATA</t>
  </si>
  <si>
    <t xml:space="preserve">JUAN ALBERTO LAGUNA ESPINOZA </t>
  </si>
  <si>
    <t>96929-056-270812</t>
  </si>
  <si>
    <t xml:space="preserve">ESTACION DE SERVICIOS LEONOR S.A.C. </t>
  </si>
  <si>
    <t xml:space="preserve">CARRETERA PANAMERICANA SUR KM 446 ESQ CON AV SIN NOMBRE SECTOR PANGARAVI BAJO </t>
  </si>
  <si>
    <t>C1:7900:DIESEL B5 </t>
  </si>
  <si>
    <t>C1:4000:GASOHOL 90 PLUS C2:3000:GASOHOL 95 PLUS C3:1000:GASOHOL 84 PLUS </t>
  </si>
  <si>
    <t>ENRIQUE WILLIAMS YRIGOYEN CRUCES</t>
  </si>
  <si>
    <t>117288-056-080120</t>
  </si>
  <si>
    <t>SERVICENTRO QUIMLLO E.I.R.L.</t>
  </si>
  <si>
    <t>CARRETERA CENTRAL S/N BARRIO, PROGRESO</t>
  </si>
  <si>
    <t>ACOSTAMBO</t>
  </si>
  <si>
    <t>C1:3250:GASOHOL 95 PLUS C2:3250:GASOHOL 90 PLUS </t>
  </si>
  <si>
    <t xml:space="preserve">RUDECINDO MAYTA GUERRA </t>
  </si>
  <si>
    <t>131000-056-060917</t>
  </si>
  <si>
    <t>SERVICENTRO CASMA S.A.C.</t>
  </si>
  <si>
    <t>PANAMERICANA NORTE SECTOR CH-2 TABON BAJO PREDIO SAN ANDRES UUCC 01685</t>
  </si>
  <si>
    <t>C1:3500:Diesel B5 S-50 C2:3500:GASOHOL 90 PLUS </t>
  </si>
  <si>
    <t>C1:3500:GASOHOL 95 PLUS C2:3500:GASOHOL 98 PLUS </t>
  </si>
  <si>
    <t>MARTHA LLICELA FIGUEROA VALENCIA</t>
  </si>
  <si>
    <t>16439-056-230516</t>
  </si>
  <si>
    <t>GAS ESCORPIO S.R.L.</t>
  </si>
  <si>
    <t>AV. LA MOLINA N° 377-397, PARCELA SEMIRUSTICA LA MOLINA, MZ. D, PARCELA 4</t>
  </si>
  <si>
    <t>ATE</t>
  </si>
  <si>
    <t>WILMINGTON SILVIO MAMANI TEJADA</t>
  </si>
  <si>
    <t>107394-056-170720</t>
  </si>
  <si>
    <t>AV. PANGOA LOTES 1-5, 14-18 MZ C, URB. HERMANOS ARCOS I</t>
  </si>
  <si>
    <t>C1:2000:GASOHOL 84 PLUS C2:3000:GASOHOL 97 PLUS C3:5000:GASOHOL 90 PLUS </t>
  </si>
  <si>
    <t>119602-056-070520</t>
  </si>
  <si>
    <t>ESTACION DE SERVICIOS J.W.D. E.I.R.L.</t>
  </si>
  <si>
    <t>CARRETERA PANAMERICANA SULLANA TALARA KM. 1027 CENTRO POBLADO MALLARITOS</t>
  </si>
  <si>
    <t>SULLANA</t>
  </si>
  <si>
    <t>MARCAVELICA</t>
  </si>
  <si>
    <t>RUIZ MEJIAS NATIVO</t>
  </si>
  <si>
    <t>133786-056-120118</t>
  </si>
  <si>
    <t>ESTACION DE SERVICIOS KALIN CALIFORNIA S.A.C.</t>
  </si>
  <si>
    <t>MZ. G LOTE 1 SEGUNDA ETAPA URB. SAN JOSE DE CALIFORNIA</t>
  </si>
  <si>
    <t>KARINA ARASELY AVILA DOMINGUEZ</t>
  </si>
  <si>
    <t>8857-056-161219</t>
  </si>
  <si>
    <t>AV. LITORAL N° 306</t>
  </si>
  <si>
    <t>C1:3600:GASOHOL 84 PLUS </t>
  </si>
  <si>
    <t>C1:5700:Diesel B5 S-50 </t>
  </si>
  <si>
    <t>85148-056-111119</t>
  </si>
  <si>
    <t>EMPRESA DE ESTACIÓN DE SERVICIOS BOLDMAR SOCIEDAD ANONIMA CERRADA</t>
  </si>
  <si>
    <t>CARRETERA FERNANDO BELAUNDE TERRY KM 1 - AUCAYACU</t>
  </si>
  <si>
    <t>DEYSI BOLIVIA CALVO CHAVEZ</t>
  </si>
  <si>
    <t>38498-056- 030818</t>
  </si>
  <si>
    <t>CORPORACION DE SERVICIOS SUD AMERICA E.I.R.L.</t>
  </si>
  <si>
    <t>CARRETERA FERNANDO BELAUNDE TERRY KM 503 + 660 SECTOR FONAVI II URB. ALONSO DE ALVARADO</t>
  </si>
  <si>
    <t>MOYOBAMBA</t>
  </si>
  <si>
    <t>C1:8870:GASOLINA 90 </t>
  </si>
  <si>
    <t>C1:8870:GASOLINA 84 </t>
  </si>
  <si>
    <t>C1:8870:Diesel B5 S-50 </t>
  </si>
  <si>
    <t>64242-056-130819</t>
  </si>
  <si>
    <t>NEGOCIACIONES KIVINAKI S.A.C.</t>
  </si>
  <si>
    <t>CARRETERA MARGINAL KM. 56, CENTRO POBLADO MENOR SAN FERNANDO DE KIVINAKI</t>
  </si>
  <si>
    <t>C1:2750:Diesel B5 S-50 C2:2680:GASOHOL 90 PLUS </t>
  </si>
  <si>
    <t>C1:990:GASOHOL 95 PLUS </t>
  </si>
  <si>
    <t>C1:2000:GASOHOL 84 PLUS C2:3000:Diesel B5 S-50 </t>
  </si>
  <si>
    <t>OSCAR ALVARADO UNSIHUAY</t>
  </si>
  <si>
    <t>7723-056-280920</t>
  </si>
  <si>
    <t>SERVICENTRO OROYA S.A.C.</t>
  </si>
  <si>
    <t>CARRETERA CENTRAL KM. 0.5 LA OROYA - HUANCAYO</t>
  </si>
  <si>
    <t>LA OROYA</t>
  </si>
  <si>
    <t>C1:9250:Diesel B5 S-50 </t>
  </si>
  <si>
    <t>C1:7000:GASOHOL 90 PLUS C2:2000:GASOHOL 95 PLUS </t>
  </si>
  <si>
    <t>CLAUDIO GERARDO LOYOLA TELLO</t>
  </si>
  <si>
    <t>21496-056-220520</t>
  </si>
  <si>
    <t>ROMMEL IBAÑEZ RUIZ</t>
  </si>
  <si>
    <t>AV. BELLAVISTA S/N (CARRETERA FERNANDO BELAUNDE TERRY KM. 97)</t>
  </si>
  <si>
    <t>C1:6500:GASOLINA 84 </t>
  </si>
  <si>
    <t>C1:4000:GASOLINA 90 C2:2500:GASOLINA 95 </t>
  </si>
  <si>
    <t>C1:3900:GASOLINA 84 </t>
  </si>
  <si>
    <t>120264-056-031017</t>
  </si>
  <si>
    <t>GRIFO LA DOXA E.I.R.L.</t>
  </si>
  <si>
    <t>A.H. VILLA SAN LUIS I ETAPA MZ. A LT. 1</t>
  </si>
  <si>
    <t>C1:3900:DIESEL B5,Diesel B5 S-50 </t>
  </si>
  <si>
    <t>KEVIN ANTONIO CHAUCA QUEZADA</t>
  </si>
  <si>
    <t>60984-056-280219</t>
  </si>
  <si>
    <t>SERVICENTRO EL SOL E.I.R.L.</t>
  </si>
  <si>
    <t>ZONA AUXILIAR DEL PARQUE INDUSTRIAL MZ. C, LOTE 19-20, CON FRENTE A LA CALLE JUAN VALER SANDOVAL</t>
  </si>
  <si>
    <t>CIUDAD NUEVA</t>
  </si>
  <si>
    <t>C1:4800:GASOHOL 90 PLUS </t>
  </si>
  <si>
    <t>GREGORIA JULIA CONSTANCIO MAMANI DE YANQUI</t>
  </si>
  <si>
    <t>42093-056-200417</t>
  </si>
  <si>
    <t>CARRETERA PANAMERICANA NORTE KM. 697</t>
  </si>
  <si>
    <t>C1:1119:SIN PRODUCTO C2:1569:GASOHOL 90 PLUS </t>
  </si>
  <si>
    <t>C1:3657:GASOHOL 84 PLUS </t>
  </si>
  <si>
    <t>C1:4530:DIESEL B5,Diesel B5 S-50 </t>
  </si>
  <si>
    <t>YONY BELLO FERNANDEZ VASQUEZ</t>
  </si>
  <si>
    <t>61987-056-060819</t>
  </si>
  <si>
    <t>ESTACION DE SERVICIOS INVERSIONES SAN LORENZO S.A.C.</t>
  </si>
  <si>
    <t>CARRETERA A CASAGRANDE KM. 0.5</t>
  </si>
  <si>
    <t>C1:3670:Diesel B5 S-50 </t>
  </si>
  <si>
    <t>C1:2302:GASOHOL 90 PLUS </t>
  </si>
  <si>
    <t>C1:1226:GASOHOL 95 PLUS </t>
  </si>
  <si>
    <t>JOSE REINALDO CERNA MARREROS</t>
  </si>
  <si>
    <t>7133-056-140817</t>
  </si>
  <si>
    <t>DERK S.A.C.</t>
  </si>
  <si>
    <t>AV. PRECURSORES N° 202 (EX CARRETERA A VENTANILLA KM. 5.5)</t>
  </si>
  <si>
    <t>C1:2110:SIN PRODUCTO </t>
  </si>
  <si>
    <t>ALFREDO MARTÍN GAVIDIA ALVAREZ</t>
  </si>
  <si>
    <t>88316-056-130120</t>
  </si>
  <si>
    <t>EMPRESA SERVICIOS MULTIPLES MI TILITA S.R.L.</t>
  </si>
  <si>
    <t>MZ. B, LOTE 14 Y 15 PUEBLO JOVEN LA EXPLANADA</t>
  </si>
  <si>
    <t>C1:1000:GASOHOL 84 PLUS C2:1000:GASOHOL 90 PLUS </t>
  </si>
  <si>
    <t>JOSEFINA BERTHA SANTA MARIA VASQUEZ</t>
  </si>
  <si>
    <t>84375-056-190315</t>
  </si>
  <si>
    <t>MZ A, LOTE 01 - CP LAS GARDENIAS (COSTADO DE PARQUE LAS GARDENIAS)</t>
  </si>
  <si>
    <t>C1:1098:GASOHOL 90 PLUS C2:1098:GASOHOL 84 PLUS C3:2195:Diesel B5 S-50 </t>
  </si>
  <si>
    <t>IVÁN LAZO INCA</t>
  </si>
  <si>
    <t>19982-056-110718</t>
  </si>
  <si>
    <t>AV. UNIVERSITARIA NORTE N° 2901</t>
  </si>
  <si>
    <t>1810:GAS LICUADO DE PETROLEO </t>
  </si>
  <si>
    <t>ALBERTO ELIAS MUNARES TAPIA</t>
  </si>
  <si>
    <t>105288-056-080218</t>
  </si>
  <si>
    <t>AV. ENRIQUE VALENZUELA ESQUINA CON JR. LAS MAQUINARIAS S/N</t>
  </si>
  <si>
    <t>C1:2000:GASOHOL 84 PLUS C2:2000:GASOHOL 90 PLUS C3:2000:GASOHOL 95 PLUS </t>
  </si>
  <si>
    <t>82902-056-030413</t>
  </si>
  <si>
    <t>ESTACION DE SERVICIOS FLUDISA S.A.C.</t>
  </si>
  <si>
    <t xml:space="preserve">AV. CENTRAL Y AV. CESAR VALLEJO, SECTOR 2, GRUPO 5, MZ I, LOTES 1,2 Y 24 </t>
  </si>
  <si>
    <t>ANASTACIA QUISPE VILCAS DE DONAIRES</t>
  </si>
  <si>
    <t>45029-056-291119</t>
  </si>
  <si>
    <t>ADMINISTRACION DE GRIFOS LEP S.A.C.</t>
  </si>
  <si>
    <t>AV. CONTRALMIRANTE MORA N° 299, ESQUINA CON CALLE SEGUNDA, URB. CHACARITA</t>
  </si>
  <si>
    <t>C1:4500:Diesel B5 S-50 C2:1200:GASOHOL 90 PLUS C3:1000:GASOHOL 95 PLUS </t>
  </si>
  <si>
    <t>EDWIN MIGUEL PINEDO CÓRDOVA</t>
  </si>
  <si>
    <t>19850-056-270516</t>
  </si>
  <si>
    <t>ESTACION DE SERVICIOS SAN JOSE ESPINAR - CUSCO S.R.L.</t>
  </si>
  <si>
    <t>VIA DE EVITAMIENTO KM. 6.5 SECTOR PAGO DE ZAMACOLA</t>
  </si>
  <si>
    <t>C1:6731:Diesel B5 S-50 </t>
  </si>
  <si>
    <t>C1:4035:GASOHOL 95 PLUS </t>
  </si>
  <si>
    <t>C1:4028:GASOHOL 90 PLUS </t>
  </si>
  <si>
    <t>C1:4017:Diesel B5 S-50 </t>
  </si>
  <si>
    <t>C1:9237:Diesel B5 S-50 </t>
  </si>
  <si>
    <t>34085-056-110816</t>
  </si>
  <si>
    <t>DOMINGO EDWIN FLORENCIO PEREZ</t>
  </si>
  <si>
    <t>CARRETERA PANAMERICANA SUR KM. 148.4</t>
  </si>
  <si>
    <t>9519-056-021214</t>
  </si>
  <si>
    <t>CARRETERA PANAMERICANA NORTE KM. 36.5</t>
  </si>
  <si>
    <t>6950-056-090818</t>
  </si>
  <si>
    <t>EMPRESA SORIA Y CIA S.C.</t>
  </si>
  <si>
    <t>CALLE REAL Nº 564</t>
  </si>
  <si>
    <t>C1:5000:Diesel B5 S-50 C2:5000:GASOHOL 95 PLUS </t>
  </si>
  <si>
    <t>PERCY ALBERTO SORIA ALVARADO</t>
  </si>
  <si>
    <t>7287-056-201012</t>
  </si>
  <si>
    <t>MULTISERVICIOS AVE FENIX S.A.C.</t>
  </si>
  <si>
    <t>VARIANTE DE UCHUMAYO KM. 03</t>
  </si>
  <si>
    <t>RAFAEL WILFREDO ALEMAN MARTINEZ</t>
  </si>
  <si>
    <t>43019-056-060820</t>
  </si>
  <si>
    <t xml:space="preserve">PEDRO CONTRERAS RUEDA </t>
  </si>
  <si>
    <t xml:space="preserve">INTERSECCION DE AV. SONOMORO CON CALLE INDUSTRIAL </t>
  </si>
  <si>
    <t>PEDRO CONTRERAS RUEDA</t>
  </si>
  <si>
    <t>96518-056-050919</t>
  </si>
  <si>
    <t xml:space="preserve">SERVICENTRO PETRO GAS S.A.C. </t>
  </si>
  <si>
    <t>AV. VICTOR MALASQUEZ ESQUINA CON AV. MIGUEL GRAU, SECTOR C, MANZANA C, LOTE 1, CENTRO POBLADO HUERTOS DE MANCHAY</t>
  </si>
  <si>
    <t>C1:7768:Diesel B5 S-50 </t>
  </si>
  <si>
    <t>C1:3130:GASOHOL 97 PLUS C2:4170:GASOHOL 90 PLUS </t>
  </si>
  <si>
    <t>C1:2322:GASOHOL 95 PLUS </t>
  </si>
  <si>
    <t>EMMA NINFA SANCHEZ YUPANQUI</t>
  </si>
  <si>
    <t>8853-056-111119</t>
  </si>
  <si>
    <t>ESTACION DE SERVICIOS VILCA S.A.C.</t>
  </si>
  <si>
    <t>AV. HUASCAR S/N Y JR. 1° DE MAYO S/N.</t>
  </si>
  <si>
    <t>ACOLLA</t>
  </si>
  <si>
    <t>C1:6768:Diesel B5 S-50 </t>
  </si>
  <si>
    <t>C1:3358:GASOHOL 90 PLUS C2:3292:GASOHOL 84 PLUS </t>
  </si>
  <si>
    <t>C1:5932:GASOHOL 95 PLUS </t>
  </si>
  <si>
    <t>BENEDICTA LORENZA BARZOLA VDA. DE VILCA</t>
  </si>
  <si>
    <t>6777-056-111018</t>
  </si>
  <si>
    <t>ESTACION DE SERVICIOS CHIMU S.R.L.</t>
  </si>
  <si>
    <t>AV. PROLONGACION UNION N° 2008-2010 LOTE C</t>
  </si>
  <si>
    <t>C1:6586:Diesel B5 S-50 </t>
  </si>
  <si>
    <t>C1:4502:Diesel B5 S-50 </t>
  </si>
  <si>
    <t>C1:2002:GASOHOL 95 PLUS </t>
  </si>
  <si>
    <t>C1:4037:GASOHOL 90 PLUS </t>
  </si>
  <si>
    <t>94476-056-080119</t>
  </si>
  <si>
    <t>CARRETERA PANAMERICANA SUR KM. 56.80</t>
  </si>
  <si>
    <t>PUCUSANA</t>
  </si>
  <si>
    <t>C1:5394:GASOHOL 84 PLUS C2:6720:SIN PRODUCTO </t>
  </si>
  <si>
    <t>C1:5068:GASOHOL 90 PLUS C2:3480:GASOHOL 95 PLUS C3:3784:GASOHOL 97 PLUS </t>
  </si>
  <si>
    <t>C1:12208:Diesel B5 S-50 </t>
  </si>
  <si>
    <t>C1:12209:Diesel B5 S-50 </t>
  </si>
  <si>
    <t>FRANCO FRANCISCO SIFUENTES ROCA</t>
  </si>
  <si>
    <t>119684-056-280119</t>
  </si>
  <si>
    <t>ESTACIÓN DE SERVICIOS SAN JOSE ESPINAR CUSCO S.R.L</t>
  </si>
  <si>
    <t>AV. PERÚ S/N MZA. A, LOTES 5 Y 6</t>
  </si>
  <si>
    <t>C1:5000:GASOHOL 95 PLUS C2:3000:GASOHOL 97 PLUS </t>
  </si>
  <si>
    <t>135722-056-190919</t>
  </si>
  <si>
    <t>CONCORSA S.A.C.</t>
  </si>
  <si>
    <t>CARRETERA PANAMERICANA NORTE KM. 689 + 180</t>
  </si>
  <si>
    <t>C1:4000:Diesel B5 S-50 C2:4000:GASOHOL 98 PLUS </t>
  </si>
  <si>
    <t xml:space="preserve">PEDRO CAMPOS TORRES </t>
  </si>
  <si>
    <t>104719-056-101219</t>
  </si>
  <si>
    <t>AV. LOS MAESTROS ESQUINA CON AV. MANUEL SANTANA CHIRI</t>
  </si>
  <si>
    <t>C1:2000:GASOHOL 84 PLUS C2:2000:GASOHOL 95 PLUS C3:2000:GASOHOL 97 PLUS </t>
  </si>
  <si>
    <t>43492-056-140818</t>
  </si>
  <si>
    <t>CARRETERA CENTRAL (AV. LIMA SUR) ESQUINA CON PASAJE JACARANDAES, SUB LOTE 34-B1, B2, B3</t>
  </si>
  <si>
    <t>C1:1969:Diesel B5 S-50 C2:1719:GASOHOL 95 PLUS C3:1196:GASOHOL 97 PLUS C4:1719:GASOHOL 90 PLUS </t>
  </si>
  <si>
    <t>8059-056-200520</t>
  </si>
  <si>
    <t>AV. PANAMERICANA NORTE KM. 1018</t>
  </si>
  <si>
    <t>62517-056-020218</t>
  </si>
  <si>
    <t>COESTI SA</t>
  </si>
  <si>
    <t>AV. FEDERICO VILLAREAL Nº 1001-1005 URB. RAZURI</t>
  </si>
  <si>
    <t>7022-056-270618</t>
  </si>
  <si>
    <t>AV. SAMUEL PASTOR N° 1516</t>
  </si>
  <si>
    <t>C1:5500:GASOHOL 98 PLUS </t>
  </si>
  <si>
    <t>17951-056-130315</t>
  </si>
  <si>
    <t>KILOMETRO 42.200 CARRETERA CENTRAL</t>
  </si>
  <si>
    <t>RICARDO PALMA</t>
  </si>
  <si>
    <t>C1:7200:GASOHOL 95 PLUS </t>
  </si>
  <si>
    <t>C1:5400:Diesel B5 S-50 </t>
  </si>
  <si>
    <t>C1:5400:GASOHOL 97 PLUS </t>
  </si>
  <si>
    <t>129427-056-280617</t>
  </si>
  <si>
    <t>ESTACION DE SERVICIOS JAGÜEY S.A.C.</t>
  </si>
  <si>
    <t>CARRETERA PANAMERICANA NORTE KM. 690</t>
  </si>
  <si>
    <t>C1:8700:DIESEL B5,Diesel B5 S-50 </t>
  </si>
  <si>
    <t xml:space="preserve">CESAR VISITACION LEZAMA ARMAS </t>
  </si>
  <si>
    <t>151378-056-280920</t>
  </si>
  <si>
    <t>ESTACION DE SERVICIOS HERCO S.A.C.</t>
  </si>
  <si>
    <t>PARCELA Nº 24, CODIGO CATASTRAL 11251 - PAMPA LA VIRGEN – SAN ANTONIO U. C. 11251 P.O. 3141198 ALTURA CARRETERA PANAMERICANA SUR KM. 76.700</t>
  </si>
  <si>
    <t>110611-056-060717</t>
  </si>
  <si>
    <t>SERVICENTRO PALIAN S.A.C.</t>
  </si>
  <si>
    <t>AV. PALIAN N° 680</t>
  </si>
  <si>
    <t>C1:3000:GASOHOL 90 PLUS C2:2000:GASOHOL 95 PLUS C3:3000:GASOHOL 97 PLUS </t>
  </si>
  <si>
    <t>JESUS CARLOS LEIVA LAZARO</t>
  </si>
  <si>
    <t>16704-056-220920</t>
  </si>
  <si>
    <t>ESTACION DE SERVICIO EL BOSQUE S.R.L.</t>
  </si>
  <si>
    <t>AV TUMBES NORTE 2199 AAHH EL BOSQUE</t>
  </si>
  <si>
    <t>C1:7800:GASOHOL 84 PLUS </t>
  </si>
  <si>
    <t>KARLA CECILIA CALMET WIESE</t>
  </si>
  <si>
    <t>95445-056-190520</t>
  </si>
  <si>
    <t>PIURA GAS S.A.C.</t>
  </si>
  <si>
    <t xml:space="preserve">AV. TACNA Nº 700 </t>
  </si>
  <si>
    <t xml:space="preserve">VASQUEZ WONG ANA AMELIA </t>
  </si>
  <si>
    <t>62992-056-250213</t>
  </si>
  <si>
    <t>SAM GAS S.A.C.</t>
  </si>
  <si>
    <t>AV. JAVIER PRADO ESTE N° 1593</t>
  </si>
  <si>
    <t>C1:2000:GASOHOL 97 PLUS C2:2000:Diesel B5 S-50 </t>
  </si>
  <si>
    <t>PEDRO MANUEL RAMOS VELITA</t>
  </si>
  <si>
    <t>7245-056-140220</t>
  </si>
  <si>
    <t>GRIFOS ESPINOZA S.A.</t>
  </si>
  <si>
    <t>MZ. P1 LOTE 19 PARCELA 12, SECTOR 72 URB. LAS CASUARINAS - BUENOS AIRES</t>
  </si>
  <si>
    <t>EUDOLIO FRANCISCO PONTE VILLANUEVA</t>
  </si>
  <si>
    <t>94166-056-100315</t>
  </si>
  <si>
    <t>NEGOCIACIONES GOLD BLACK PERU S.A.C.</t>
  </si>
  <si>
    <t>CARRETERA CENTRAL N° 447, BARRIO DOS DE MAYO</t>
  </si>
  <si>
    <t>MATAHUASI</t>
  </si>
  <si>
    <t>C1:4030:DIESEL B5 </t>
  </si>
  <si>
    <t>CARLOS FERNANDO SORIA DEL PINO</t>
  </si>
  <si>
    <t>62370-056-291018</t>
  </si>
  <si>
    <t>AV. PACIFICO MZ. I LT. 15 ESQUINA LOS PELICANOS</t>
  </si>
  <si>
    <t>C1:1000:GASOHOL 95 PLUS C2:1000:GASOHOL 90 PLUS C3:500:GASOHOL 97 PLUS C4:4500:Diesel B5 S-50 </t>
  </si>
  <si>
    <t>148821-056-280120</t>
  </si>
  <si>
    <t>AV. TUPAC AMARU N° 1652 Y CALLE SANTA ROSA I-6; SECTOR ALTO MOCHICA</t>
  </si>
  <si>
    <t>9484-056-260217</t>
  </si>
  <si>
    <t>AV. MANCO CAPAC N° 993, ESQUINA CON AV. ISABEL LA CATOLICA</t>
  </si>
  <si>
    <t>DIEGO ALONSO CARLOS JOSÉ GONZALES POSADA DE COSSIO</t>
  </si>
  <si>
    <t>33521-056-121219</t>
  </si>
  <si>
    <t>AV. CHANCAY S/N ESQUINA CON CALLE 3 DE OCTUBRE</t>
  </si>
  <si>
    <t>C1:4100:Diesel B5 S-50 </t>
  </si>
  <si>
    <t>C1:2900:GASOHOL 84 PLUS </t>
  </si>
  <si>
    <t>C1:2900:GASOHOL 90 PLUS </t>
  </si>
  <si>
    <t>114067-056-200120</t>
  </si>
  <si>
    <t xml:space="preserve">BEZIM GROUP S.A. </t>
  </si>
  <si>
    <t>AV. GENARO MEDRANO ESQUINA CON CALLE ESPAÑA</t>
  </si>
  <si>
    <t>C1:2500:GASOHOL 95 PLUS C2:2500:GASOHOL 98 PLUS </t>
  </si>
  <si>
    <t>AMERICO MANUEL MENDOZA WONG</t>
  </si>
  <si>
    <t>21389-056-121219</t>
  </si>
  <si>
    <t>ESQ. AV. ESPAÑA N° 1099 CON JR. MINERIA</t>
  </si>
  <si>
    <t>15206-056-280419</t>
  </si>
  <si>
    <t>AV. BRASIL N° 699</t>
  </si>
  <si>
    <t>C1:6000:GASOHOL 90 PLUS C2:2000:Diesel B5 S-50 </t>
  </si>
  <si>
    <t>C1:2000:GASOHOL 97 PLUS C2:6000:GASOHOL 95 PLUS </t>
  </si>
  <si>
    <t>20785-056-200115</t>
  </si>
  <si>
    <t>NEGOCIACIONES C.V.Q. E.I.R.L.</t>
  </si>
  <si>
    <t>AV.AREVALO S/N KM 164 CARRETERA CENTRAL</t>
  </si>
  <si>
    <t>C1:3300:GASOHOL 90 PLUS C2:3300:DIESEL B5 </t>
  </si>
  <si>
    <t>C1:1800:GASOHOL 95 PLUS </t>
  </si>
  <si>
    <t>1700:GAS LICUADO DE PETROLEO </t>
  </si>
  <si>
    <t>CLAVER JACINTO VILCHEZ QUINTO</t>
  </si>
  <si>
    <t>18446-056-210519</t>
  </si>
  <si>
    <t>PANAMERICANA NORTE KM 762</t>
  </si>
  <si>
    <t>C1:6600:SIN PRODUCTO </t>
  </si>
  <si>
    <t>C1:3300:GASOHOL 95 PLUS C2:3300:GASOHOL 90 PLUS </t>
  </si>
  <si>
    <t>19946-056-221119</t>
  </si>
  <si>
    <t>ESTACION DE SERVICIOS CHACLACAYO S.A.C.</t>
  </si>
  <si>
    <t>CARRETERA CENTRAL N° 1670 KM. 21.75, SECTOR PAMPA DE MORON</t>
  </si>
  <si>
    <t>CHACLACAYO</t>
  </si>
  <si>
    <t>C1:3362:SIN PRODUCTO </t>
  </si>
  <si>
    <t>140721-056-150119</t>
  </si>
  <si>
    <t>SHILCAYO GRIFO LORETO S.R.L.</t>
  </si>
  <si>
    <t xml:space="preserve">CARRETERA YURIMAGUAS - TARAPOTO KM. 4 </t>
  </si>
  <si>
    <t>LORETO</t>
  </si>
  <si>
    <t>ALTO AMAZONAS</t>
  </si>
  <si>
    <t>YURIMAGUAS</t>
  </si>
  <si>
    <t>C1:10000:GASOLINA 90 </t>
  </si>
  <si>
    <t>C1:10000:GASOLINA 84 </t>
  </si>
  <si>
    <t>C1:5000:GASOLINA 95 </t>
  </si>
  <si>
    <t>7600:GAS LICUADO DE PETROLEO </t>
  </si>
  <si>
    <t>ALFONSO REATEGUI PAREDES</t>
  </si>
  <si>
    <t>9051-056-050712</t>
  </si>
  <si>
    <t>ESTACION DE SERVICIOS EL INOLVIDABLE S.A.C</t>
  </si>
  <si>
    <t>AV. VICTOR VILLACHICA GAMBINI Nª 611,625,631 Y 635</t>
  </si>
  <si>
    <t>SAN RAMON</t>
  </si>
  <si>
    <t>JULIAN DOMINIO COLLACHAGUA HUAMAN</t>
  </si>
  <si>
    <t>36505-056-220818</t>
  </si>
  <si>
    <t>PROLONGACION JR. LIBERTAD MZ. E1 LOTE 6 Y 7, URB. MARIA PARADO DE BELLIDO (EMADI)</t>
  </si>
  <si>
    <t>7085-056-270519</t>
  </si>
  <si>
    <t>IMVERSIONES ARWATURO S.R.L.</t>
  </si>
  <si>
    <t>JR. ANGARAES 362</t>
  </si>
  <si>
    <t>C1:3940:GASOHOL 95 PLUS </t>
  </si>
  <si>
    <t>C1:3940:GASOHOL 90 PLUS </t>
  </si>
  <si>
    <t>C1:3940:GASOHOL 97 PLUS </t>
  </si>
  <si>
    <t>C1:6570:Diesel B5 S-50 </t>
  </si>
  <si>
    <t>DONATO GIL PIÑAS CANCHANYA</t>
  </si>
  <si>
    <t>6954-056-181116</t>
  </si>
  <si>
    <t>ANTONIETA LUZ ESPINOZA DE PALACIOS</t>
  </si>
  <si>
    <t>AV. 28 DE JULIO Nº 306-308</t>
  </si>
  <si>
    <t>C1:2120:GASOHOL 95 PLUS </t>
  </si>
  <si>
    <t>C1:3975:GASOHOL 95 PLUS </t>
  </si>
  <si>
    <t>C1:3975:DIESEL B5 </t>
  </si>
  <si>
    <t>C1:1325:SIN PRODUCTO </t>
  </si>
  <si>
    <t>C1:3975:GASOHOL 90 PLUS </t>
  </si>
  <si>
    <t>C1:3180:DIESEL B5 </t>
  </si>
  <si>
    <t>104692-056-080620</t>
  </si>
  <si>
    <t>COMBUSTIBLES &amp; SERVICIOS SEÑOR CAUTIVO E.I.R.L.</t>
  </si>
  <si>
    <t>CALLE BUENOS AIRES MZ 10 LOTE 8 Y 9</t>
  </si>
  <si>
    <t>ALEX EDILBERTO RODRIGUEZ MORE</t>
  </si>
  <si>
    <t>8268-056-240517</t>
  </si>
  <si>
    <t>INVERSIONES Y COMERCIALIZACION MAKA S.A.</t>
  </si>
  <si>
    <t>AV. LOS FRUTALES N° 994, ESQUINA ARCOS DE LA FRONTERA</t>
  </si>
  <si>
    <t>C1:4000:Diesel B5 S-50 C2:4000:Diesel B5 S-50 </t>
  </si>
  <si>
    <t>RENZO LERCARI CARBONE</t>
  </si>
  <si>
    <t>82100-056-250518</t>
  </si>
  <si>
    <t>DINOGAS ESTACIONES Y SERVICIOS S.A.C.</t>
  </si>
  <si>
    <t>AV. VICTOR RAUL HAYA DE LA TORRE N° 3780 AA. HH. MIRAFLORES ALTO</t>
  </si>
  <si>
    <t>C1:2400:Diesel B5 S-50 C2:1200:GASOHOL 95 PLUS C3:1200:GASOHOL 90 PLUS </t>
  </si>
  <si>
    <t>CARLOS DIAZ GARCIA</t>
  </si>
  <si>
    <t>145386-056-240719</t>
  </si>
  <si>
    <t>GRIFO LUCYMAR S.A.C.</t>
  </si>
  <si>
    <t>CARRETERA PANAMERICANA SUR KM.275 -VILLACURI</t>
  </si>
  <si>
    <t>SALAS</t>
  </si>
  <si>
    <t>16163-056-171115</t>
  </si>
  <si>
    <t>GRUPO GAMARRA S.A.C</t>
  </si>
  <si>
    <t>VIA EVITAMIENTO KM. 03</t>
  </si>
  <si>
    <t>C1:10457:Diesel B5 S-50 </t>
  </si>
  <si>
    <t>C1:10382:Diesel B5 S-50 </t>
  </si>
  <si>
    <t>C1:10629:Diesel B5 S-50 </t>
  </si>
  <si>
    <t>C1:10640:Diesel B5 S-50 </t>
  </si>
  <si>
    <t>C1:10472:Diesel B5 S-50 </t>
  </si>
  <si>
    <t>C1:10553:Diesel B5 S-50 </t>
  </si>
  <si>
    <t>LEOPOLDO GAMARRA BACA</t>
  </si>
  <si>
    <t>92154-056-030718</t>
  </si>
  <si>
    <t>GLMAR S.A.C.</t>
  </si>
  <si>
    <t>AV. ELVIRA GARCÍA Y GARCÍA NRO. 298 - URB. PATAZCA</t>
  </si>
  <si>
    <t>C1:2500:Diesel B5 S-50 C2:500:GASOHOL 84 PLUS C3:1000:GASOHOL 90 PLUS C4:1000:GASOHOL 95 PLUS </t>
  </si>
  <si>
    <t>MANUEL MARTÍN HERRERA MOYANO</t>
  </si>
  <si>
    <t>9049-056-251119</t>
  </si>
  <si>
    <t>GRUPO REVILLA S.A.C.</t>
  </si>
  <si>
    <t>AV. REVOLUCIÓN ESQ AV. TALARA SECTOR 3 GRUPO 12 MZ. N LOTES 2, 3, 4 Y 5</t>
  </si>
  <si>
    <t>VICTOR MANUEL REVILLA VALQUI</t>
  </si>
  <si>
    <t>125324-056-151018</t>
  </si>
  <si>
    <t>SMITH JESUS BARRETO ASTUCURI</t>
  </si>
  <si>
    <t>AV. LOS HEROES S/N BARRIO LA LIBERTAD</t>
  </si>
  <si>
    <t>C1:3000:GASOHOL 90 PLUS C2:2000:GASOHOL 95 PLUS C3:2000:GASOHOL 97 PLUS </t>
  </si>
  <si>
    <t>86590-056-140119</t>
  </si>
  <si>
    <t>ESTACION DE SERVICIOS CORCONA S.A.C.</t>
  </si>
  <si>
    <t>AV. NICOLAS DE PIEROLA SUR S/N (ALTURA KM. 48.5 CARRETERA CENTRAL)</t>
  </si>
  <si>
    <t>NOYLI CASTRO DE LA CRUZ</t>
  </si>
  <si>
    <t>85900-056-140217</t>
  </si>
  <si>
    <t>GRUPO PETROCAÑA S.A.C.</t>
  </si>
  <si>
    <t>CARRETERA CHICLAYO POMALCA KM 3.00 SECTOR SAMAN</t>
  </si>
  <si>
    <t>C1:9235:DIESEL B5,Diesel B5 S-50 </t>
  </si>
  <si>
    <t>LUIS ADRIANO BACA CAMACHO</t>
  </si>
  <si>
    <t>116999-056-060919</t>
  </si>
  <si>
    <t>CORPORACION OIL GEMS SOCIEDAD ANONIMA CERRADA - CORPORACION OIL GEMS S.A.C.</t>
  </si>
  <si>
    <t>CARRETERA PANAMERICANA NORTE KM 97.20</t>
  </si>
  <si>
    <t>CHANCAY</t>
  </si>
  <si>
    <t xml:space="preserve">CLARA ALICIA ARANDA MORENO </t>
  </si>
  <si>
    <t>21793-056-041119</t>
  </si>
  <si>
    <t>MEGA ESTACION PICHANAKI S.A.C.</t>
  </si>
  <si>
    <t>CARRETERA MARGINAL KM. 73 - ZOTARARI PARCELA Nº 30334</t>
  </si>
  <si>
    <t>C1:4000:GASOHOL 84 PLUS C2:4000:Diesel B5 S-50 </t>
  </si>
  <si>
    <t xml:space="preserve">MARTIN MARCELO MORALES </t>
  </si>
  <si>
    <t>9502-056-240816</t>
  </si>
  <si>
    <t>ESTACION DE SERVICIOS FRAY MARTIN SRL.</t>
  </si>
  <si>
    <t>CARRETERA PANAMERICANA NORTE KM. 442</t>
  </si>
  <si>
    <t>C1:1500:DIESEL B5,Diesel B5 S-50 C2:3000:GASOHOL 95 PLUS C3:2000:DIESEL B5,Diesel B5 S-50 </t>
  </si>
  <si>
    <t>LUIS SALVADOR CARO RODRIGUEZ</t>
  </si>
  <si>
    <t>125639-056-160419</t>
  </si>
  <si>
    <t>SERVICENTRO SURINOR E.I.R.L.</t>
  </si>
  <si>
    <t>SECTOR SAN JOSE DE LA PAMPA Y SUTE CENTRO POBLADO SAN JACINTO</t>
  </si>
  <si>
    <t>NEPEÑA</t>
  </si>
  <si>
    <t>SUSAN ZARELA RINCON OCHOA</t>
  </si>
  <si>
    <t>41283-056-071116</t>
  </si>
  <si>
    <t>AV. CHANCAY S/N Y JULIO C. TELLO URBANIZACION EL ROSARIO</t>
  </si>
  <si>
    <t>C1:2244:GASOHOL 95 PLUS </t>
  </si>
  <si>
    <t>9447-056-190520</t>
  </si>
  <si>
    <t>ESTACION DE SERVICIOS SANCHEZ CERRO S.R.L.</t>
  </si>
  <si>
    <t>AV. SANCHEZ CERRO MZ. 224, LOTE 01-A, ZONA INDUSTRIAL ANTIGUA</t>
  </si>
  <si>
    <t>C1:5200:GASOHOL 84 PLUS </t>
  </si>
  <si>
    <t xml:space="preserve">TRONCOS NUÑEZ SEGUNDO VICTOR </t>
  </si>
  <si>
    <t>131391-056-031219</t>
  </si>
  <si>
    <t>ESTACION DE SERVICIOS GRAN PRIX S.A.C.</t>
  </si>
  <si>
    <t>AV. LAS AMERICAS N° 1798</t>
  </si>
  <si>
    <t>WILFREDO ROSENDO DIAZ MELGAR</t>
  </si>
  <si>
    <t>9123-056-040619</t>
  </si>
  <si>
    <t>CALLE HUASCAR N° 988 - URRUNAGA</t>
  </si>
  <si>
    <t>C1:2969:Diesel B5 S-50 </t>
  </si>
  <si>
    <t>C1:5867:GASOHOL 84 PLUS </t>
  </si>
  <si>
    <t>C1:2969:GASOHOL 90 PLUS </t>
  </si>
  <si>
    <t>C1:2969:GASOHOL 95 PLUS </t>
  </si>
  <si>
    <t>C1:2970:Diesel B5 S-50 </t>
  </si>
  <si>
    <t>2700:GAS LICUADO DE PETROLEO </t>
  </si>
  <si>
    <t>40544-056-240920</t>
  </si>
  <si>
    <t>AV. RAMON CASTILLA Nº 1100, ESQ. CALLE NICOLAS DE PIEROLA MZ. X, ZONA C, LOTE 1, PUEBLO JOVEN LA TOMILLA</t>
  </si>
  <si>
    <t>CAYMA</t>
  </si>
  <si>
    <t>C1:4884:Diesel B5 S-50 </t>
  </si>
  <si>
    <t>C1:2426:GASOHOL 95 PLUS </t>
  </si>
  <si>
    <t>C1:2437:GASOHOL 90 PLUS </t>
  </si>
  <si>
    <t>C1:2426:GASOHOL 90 PLUS </t>
  </si>
  <si>
    <t>C1:2426:GASOHOL 97 PLUS </t>
  </si>
  <si>
    <t>33678-056-170119</t>
  </si>
  <si>
    <t>ESTACION DE SERVICIOS PERCY CAR S.R.L.</t>
  </si>
  <si>
    <t>AV. PASTOR SEVILLA Y AV. MARIA REICHE, MZ. "A" LOTES 6, 7, 8 Y 9 SECTOR 2, 4TA ETAPA URB. PACHACAMAC</t>
  </si>
  <si>
    <t>C1:4000:Diesel B5 S-50 C2:2040:GASOHOL 97 PLUS </t>
  </si>
  <si>
    <t>C1:6550:Diesel B5 S-50 </t>
  </si>
  <si>
    <t>C1:2400:GASOHOL 90 PLUS C2:2000:GASOHOL 95 PLUS C3:1000:SIN PRODUCTO </t>
  </si>
  <si>
    <t>84062-056-310719</t>
  </si>
  <si>
    <t>COMPAÑIA PERUANA DE PETROLEO GAS Y GASOLINA S.A.C.</t>
  </si>
  <si>
    <t>AV. AMERICA OESTE MZ. Z LT. 20, 21 Y 22 - URB. NATASHA ALTA</t>
  </si>
  <si>
    <t>C1:3000:GASOHOL 98 PLUS C2:3000:GASOHOL 90 PLUS </t>
  </si>
  <si>
    <t>C1:2000:GASOHOL 95 PLUS C2:4000:Diesel B5 S-50 </t>
  </si>
  <si>
    <t>MAKIA HARUMY DE LA CRUZ DEL AGUILA</t>
  </si>
  <si>
    <t>8720-056-190417</t>
  </si>
  <si>
    <t>ERNESTO AUGUSTO PALACIOS CHAMORRO</t>
  </si>
  <si>
    <t>INTERSECCION AV. EL MINERO CON AV. GRAU</t>
  </si>
  <si>
    <t>C1:3350:Diesel B5 S-50 C2:2450:GASOHOL 90 PLUS </t>
  </si>
  <si>
    <t>99596-056-010819</t>
  </si>
  <si>
    <t>SURTIDORES SAN MIGUEL E.I.R.L</t>
  </si>
  <si>
    <t>AV. ANTONIO RAYMONDI N° 314 ESQUINA CON LA CALLE 8 - URB. SANTA LEONOR</t>
  </si>
  <si>
    <t>C1:3000:GASOHOL 84 PLUS C2:2000:GASOHOL 97 PLUS </t>
  </si>
  <si>
    <t xml:space="preserve">IDA ISABEL CONTRERAS VICTORIO </t>
  </si>
  <si>
    <t>8581-056-231219</t>
  </si>
  <si>
    <t>CARRETERA PANAMERICANA NORTE KM. 193. BARRIO DE ATAHUALPA</t>
  </si>
  <si>
    <t>C1:1165:GASOHOL 84 PLUS </t>
  </si>
  <si>
    <t>C1:9977:Diesel B5 S-50 </t>
  </si>
  <si>
    <t>IVAN LAZO INGA</t>
  </si>
  <si>
    <t>18353-056-310816</t>
  </si>
  <si>
    <t xml:space="preserve">AV. AMERICA SUR N° 2140 MZ. H LOTES 3, 4, 5, 6 Y 7 URB. SANTA MARIA </t>
  </si>
  <si>
    <t>C1:2600:DIESEL B5,Diesel B5 S-50 </t>
  </si>
  <si>
    <t>C1:2600:DIESEL B5 </t>
  </si>
  <si>
    <t>7616-056-220817</t>
  </si>
  <si>
    <t>GRIFOS GUEVARA S.R.L.</t>
  </si>
  <si>
    <t>AV. MESONES MURO Nº 700</t>
  </si>
  <si>
    <t>C1:2800:SIN PRODUCTO </t>
  </si>
  <si>
    <t xml:space="preserve">CESAR ANTONIO GUEVARA FERNANDEZ </t>
  </si>
  <si>
    <t>83154-056-220520</t>
  </si>
  <si>
    <t>ESTACION DE SERVICIOS GASOCENTRO PETROGAS E.I.R.L.</t>
  </si>
  <si>
    <t>CARRETERA FERNANDO BELAUNDE TERRY KM. 470</t>
  </si>
  <si>
    <t>RIOJA</t>
  </si>
  <si>
    <t>C1:9000:GASOLINA 90 </t>
  </si>
  <si>
    <t>C1:9000:GASOLINA 84 </t>
  </si>
  <si>
    <t>EDISON VASQUEZ VELA</t>
  </si>
  <si>
    <t>44840-056-170118</t>
  </si>
  <si>
    <t>GRANEL INSDUSTRIAL S.A.C.</t>
  </si>
  <si>
    <t>AV. ENRIQUE MEIGGS N° 1186-1189, MIRAFLORES ZONA 1</t>
  </si>
  <si>
    <t>C2:1000:GASOHOL 90 PLUS C3:500:GASOHOL 97 PLUS C1:1000:GASOHOL 95 PLUS C2:1000:GASOHOL 90 PLUS C4:2500:DIESEL B5,Diesel B5 S-50 </t>
  </si>
  <si>
    <t>2000:GLP - G </t>
  </si>
  <si>
    <t>127672-056-220719</t>
  </si>
  <si>
    <t>GASOCENTRO LLACTA S.A.C.</t>
  </si>
  <si>
    <t>CARRETERA MARGINAL A MAZAMARI N° 1283</t>
  </si>
  <si>
    <t>C1:5000:GASOHOL 97 PLUS C2:5000:GASOHOL 84 PLUS </t>
  </si>
  <si>
    <t>JIMMY DAVID LLACTAHUAMAN LEANDRO</t>
  </si>
  <si>
    <t>9354-056-110920</t>
  </si>
  <si>
    <t>ESTACION DE SERVICIOS NJK S.A.C.</t>
  </si>
  <si>
    <t>AV. LAS AMERICAS N° 831 - PANAMERICANA NORTE KM 158</t>
  </si>
  <si>
    <t>C1:2000:GASOHOL 97 PLUS C2:2000:GASOHOL 90 PLUS C3:4000:Diesel B5 S-50 </t>
  </si>
  <si>
    <t>JUAN JOSE LI PERALTA</t>
  </si>
  <si>
    <t>19923-056-121219</t>
  </si>
  <si>
    <t>AV. LA MARINA KM 559 CARRETERA PANAMERICANA NORTE</t>
  </si>
  <si>
    <t>C1:10400:DIESEL B5,Diesel B5 S-50 </t>
  </si>
  <si>
    <t>C1:10400:DIESEL B5 </t>
  </si>
  <si>
    <t>C1:5200:SIN PRODUCTO </t>
  </si>
  <si>
    <t>3900:GAS LICUADO DE PETROLEO </t>
  </si>
  <si>
    <t>16771-056-121219</t>
  </si>
  <si>
    <t>INTERSECCION AV. RICARDO PALMA CON ANDRES BELAUNDE MZ. LL LOTE 12 URB. EL BOSQUE</t>
  </si>
  <si>
    <t>6951-056-211116</t>
  </si>
  <si>
    <t>CARRETERA PANAMERICANA NORTE KM.82</t>
  </si>
  <si>
    <t>C1:5800:Diesel B5 S-50 </t>
  </si>
  <si>
    <t>128675-056-160617</t>
  </si>
  <si>
    <t>DELTA CHOCAS E.I.R.L.</t>
  </si>
  <si>
    <t>ALFREDO MENDIOLA 700 - 704 URB. PALAO</t>
  </si>
  <si>
    <t>C1:6140:GASOHOL 95 PLUS </t>
  </si>
  <si>
    <t>C1:3070:GASOHOL 90 PLUS C2:3070:GASOHOL 97 PLUS </t>
  </si>
  <si>
    <t>C1:6700:Diesel B5 S-50 </t>
  </si>
  <si>
    <t>C1:6150:Diesel B5 S-50 </t>
  </si>
  <si>
    <t>EDWARD FREDDY ATACHAGUA GOMEZ</t>
  </si>
  <si>
    <t>86146-056-300519</t>
  </si>
  <si>
    <t>ESTACION DE SERVICIO PURUCHUCO S.A.C.</t>
  </si>
  <si>
    <t>AV. NICOLAS AYLLON N° 4500, URB. LOS PORTALES DE JAVIER PRADO</t>
  </si>
  <si>
    <t>C1:7976:Diesel B5 S-50 </t>
  </si>
  <si>
    <t>C1:3999:GASOHOL 90 PLUS </t>
  </si>
  <si>
    <t>C1:3988:GASOHOL 95 PLUS </t>
  </si>
  <si>
    <t>C1:2107:GASOHOL 90 PLUS </t>
  </si>
  <si>
    <t>C1:2111:GASOHOL 98 PLUS </t>
  </si>
  <si>
    <t>C1:2107:GASOHOL 98 PLUS </t>
  </si>
  <si>
    <t>BENITO INCHE CHAVEZ</t>
  </si>
  <si>
    <t>14687-056-250818</t>
  </si>
  <si>
    <t>INVERSIONES SANTISIMA TRINIDAD S.A.C.</t>
  </si>
  <si>
    <t>AUTOPISTA VENTANILLA MZA. G LT. 100 LEONCIO PRADO</t>
  </si>
  <si>
    <t>EHMER AUGUSTO ÑAÑEZ QUISEL</t>
  </si>
  <si>
    <t>120106-056-070916</t>
  </si>
  <si>
    <t xml:space="preserve">AV. FRAY JERONIMO JIMENEZ MZ. C LOTES 01 AL 05, 17, 18 SECTOR R. LOTIZACION CITSELVA - SAN CARLOS </t>
  </si>
  <si>
    <t>135710-056-180618</t>
  </si>
  <si>
    <t>INVERSIONES Y SERVICIOS GENERALES NOLMA S.A.C.</t>
  </si>
  <si>
    <t>CARRETERA LOS LIBERTADORES KM. 16, (PARAJE SANTA MARIA)</t>
  </si>
  <si>
    <t>2750:GAS LICUADO DE PETROLEO </t>
  </si>
  <si>
    <t>ESTEBAN NICOLAS NOLVERTO PAREDES</t>
  </si>
  <si>
    <t>39850-056-131118</t>
  </si>
  <si>
    <t>PROLONGACION UNION N° 1914</t>
  </si>
  <si>
    <t>63516-056-271218</t>
  </si>
  <si>
    <t>ESTACION DE SERVICIOS TWALSS E.I.R.L.</t>
  </si>
  <si>
    <t>PARCELA 107-1 ALTURA KM 400+190 VIA REGIONAL LIMA - PUCALLPA ZONA DE ANDABAMBA</t>
  </si>
  <si>
    <t>7832-056-130720</t>
  </si>
  <si>
    <t>STACION CENTRO S.A.C.</t>
  </si>
  <si>
    <t>AV. VICTOR RAUL HAYA DE LA TORRE, ZONA INDUSTRIAL 1º DE MAYO MZ D' LOTES 8, 9, 10 Y 11</t>
  </si>
  <si>
    <t>C1:4350:Diesel B5 S-50 </t>
  </si>
  <si>
    <t>C1:2175:GASOHOL 90 PLUS C2:2175:SIN PRODUCTO </t>
  </si>
  <si>
    <t>100010-056-010618</t>
  </si>
  <si>
    <t>ECOX S.A.C.</t>
  </si>
  <si>
    <t>JR. MARISCAL RAMON CASTILLA N° 671 INTERSECCION JR. FREDY ALIAGA S/N</t>
  </si>
  <si>
    <t>C1:3000:GASOLINA 84 C2:4000:GASOLINA 90 C3:2000:GASOLINA 97 </t>
  </si>
  <si>
    <t>CELSO GENIS PALIAN</t>
  </si>
  <si>
    <t>140905-056-010419</t>
  </si>
  <si>
    <t xml:space="preserve">ESTACION DE SERVICIOS EL ACERO S.A.C. </t>
  </si>
  <si>
    <t>BARRIO N° 05 – DPTO N° 9A-2</t>
  </si>
  <si>
    <t>C1:1400:Diesel B5 S-50 </t>
  </si>
  <si>
    <t>C1:1400:GASOHOL 97 PLUS </t>
  </si>
  <si>
    <t xml:space="preserve">DANIEL ALBERTO CUEVA AGUILAR </t>
  </si>
  <si>
    <t>8588-056-141219</t>
  </si>
  <si>
    <t>MALECON MARIA AUXILIADORA L0TE 34 URB. MIRAFLORES</t>
  </si>
  <si>
    <t>C1:5800:GASOHOL 84 PLUS </t>
  </si>
  <si>
    <t>135772-056-010618</t>
  </si>
  <si>
    <t>JR. JORGE CHAVEZ N° 280</t>
  </si>
  <si>
    <t>C1:4500:GASOLINA 84 C2:4500:GASOLINA 95 </t>
  </si>
  <si>
    <t>117789-056-310719</t>
  </si>
  <si>
    <t>ESQUINA AV. TUPAC AMARU CON CALLE SAN MARTIN, MZ. E SUB LOTES 1A Y 1B SECTOR 2, CENTRO URBANO INFORMAL ALTO MOCHICA</t>
  </si>
  <si>
    <t>21047-056-111219</t>
  </si>
  <si>
    <t>VARIANTE DE UCHUMAYO KM. 3.6 - SEMI RURAL PACHACUTEC</t>
  </si>
  <si>
    <t>C1:9220:Diesel B5 S-50 </t>
  </si>
  <si>
    <t>C2:3951:GASOHOL 95 PLUS </t>
  </si>
  <si>
    <t>C1:3951:GASOHOL 97 PLUS </t>
  </si>
  <si>
    <t>C1:6586:GASOHOL 90 PLUS </t>
  </si>
  <si>
    <t>142634-056-190419</t>
  </si>
  <si>
    <t>MARITZA ABAD CARHUACHINCHAY</t>
  </si>
  <si>
    <t>LOTE E KM. 5 CARRETERA HUANUCO - TINGO MARIA EN EL SECTOR LA ESPERANZA</t>
  </si>
  <si>
    <t>C1:3000:GASOHOL 90 PLUS C2:3000:GASOHOL 95 PLUS </t>
  </si>
  <si>
    <t>19897-056-021018</t>
  </si>
  <si>
    <t>INVERSIONES SAMARITANO E.I.R.L.</t>
  </si>
  <si>
    <t>CARRETERA CENTRAL MARGINAL S/N. CON CALLES B URB. SHANGANI</t>
  </si>
  <si>
    <t>C1:6650:Diesel B5 S-50 </t>
  </si>
  <si>
    <t>C1:6650:GASOHOL 84 PLUS </t>
  </si>
  <si>
    <t>C1:2200:GASOHOL 90 PLUS C2:2200:GASOHOL 90 PLUS C3:2200:GASOHOL 90 PLUS </t>
  </si>
  <si>
    <t>EMMA ATAHUAMAN DE CORREA</t>
  </si>
  <si>
    <t>93088-056-100117</t>
  </si>
  <si>
    <t>AV. VENEZUELA Nº 102 INTERSECCIÓN CON AV. MIRAFLORES</t>
  </si>
  <si>
    <t>MONSEFU</t>
  </si>
  <si>
    <t>C1:2883:DIESEL B5,Diesel B5 S-50 </t>
  </si>
  <si>
    <t>C1:2794:GASOHOL 84 PLUS </t>
  </si>
  <si>
    <t>C1:1857:GASOHOL 90 PLUS </t>
  </si>
  <si>
    <t>85781-056-050619</t>
  </si>
  <si>
    <t>ESTACION DE SERVICIOS LAS ORQUIDEAS S.A.C.</t>
  </si>
  <si>
    <t>LT.Nº4 MZ P URB. MIRAFLORES-CARRETERA MARGINAL Y CALLE Nº 18</t>
  </si>
  <si>
    <t>VILLA RICA</t>
  </si>
  <si>
    <t>NICANOR SAMUEL POMA QUISPE</t>
  </si>
  <si>
    <t>14693-056-240718</t>
  </si>
  <si>
    <t>AV. JOSE GALVEZ BARRENECHEA Nº 211 ESQUINA CON AV. DEL PARQUE NORTE Nº 590</t>
  </si>
  <si>
    <t>C1:14000:Diesel B5 S-50 </t>
  </si>
  <si>
    <t>TANI MARIE VALLES BENAVENTE</t>
  </si>
  <si>
    <t>84984-056-240320</t>
  </si>
  <si>
    <t xml:space="preserve">ESTACION SERVICIOS SAN LUIS E.I.R.L. </t>
  </si>
  <si>
    <t>AV. CHACHAPOYAS MZ SL LOTE 8 SECTOR SAN LUIS</t>
  </si>
  <si>
    <t>UTCUBAMBA</t>
  </si>
  <si>
    <t>BAGUA GRANDE</t>
  </si>
  <si>
    <t>C1:3600:Diesel B5 S-50 </t>
  </si>
  <si>
    <t>C1:2700:GASOLINA 84 </t>
  </si>
  <si>
    <t>7945-056-071219</t>
  </si>
  <si>
    <t>GRIFOS SANTA MARIA S.A.</t>
  </si>
  <si>
    <t>CARRETERA LIMA - HUARAL S/N JESUS DEL VALLE KM 2</t>
  </si>
  <si>
    <t>C1:5400:GASOHOL 84 PLUS </t>
  </si>
  <si>
    <t>C1:3050:SIN PRODUCTO </t>
  </si>
  <si>
    <t>C1:2700:GASOHOL 95 PLUS C2:2700:GASOHOL 90 PLUS </t>
  </si>
  <si>
    <t xml:space="preserve">CONSUELO EMPERATRIZ SALGUERO BOZZO </t>
  </si>
  <si>
    <t>33452-056-170417</t>
  </si>
  <si>
    <t>ESTACIONES ALEJANDRO S.A.C.</t>
  </si>
  <si>
    <t>CARRETERA PANAMERICANA SUR KM. 320 + 070 CASERIO CASA BLANCA</t>
  </si>
  <si>
    <t>JOSE LUIS PORTILLO RONDAN</t>
  </si>
  <si>
    <t>7960-056-160519</t>
  </si>
  <si>
    <t>CORPORACION NICOLAS SANTANA S.A.C.</t>
  </si>
  <si>
    <t>JR. MARIA MIRANDA Nº 250</t>
  </si>
  <si>
    <t>MAXIMO NICOLAS SANTANA BALTAZAR</t>
  </si>
  <si>
    <t>98368-056-181219</t>
  </si>
  <si>
    <t>CT-GAS SEOANE S.A.C.</t>
  </si>
  <si>
    <t>AV.MANUEL SEOANE N° 1010, URB. VISTA ALEGRE</t>
  </si>
  <si>
    <t>C1:5670:Diesel B5 S-50 </t>
  </si>
  <si>
    <t>C1:1150:GASOHOL 97 PLUS </t>
  </si>
  <si>
    <t>DANIEL ALBERTO CUEVA AGUILAR</t>
  </si>
  <si>
    <t>19973-056-281116</t>
  </si>
  <si>
    <t>GRIFOS COPA S.A.C.</t>
  </si>
  <si>
    <t>AV. EL SOL ESQUINA CON AV. LOS ALAMOS, MZ. E. LOTES 20B Y 20A-1. URB. CANTO GRANDE</t>
  </si>
  <si>
    <t>C1:1317:GASOHOL 97 PLUS </t>
  </si>
  <si>
    <t>RAPHAEL CESAR ARCOS PAUCAR</t>
  </si>
  <si>
    <t>8564-056-080520</t>
  </si>
  <si>
    <t>ZONA INDUSTRIAL MZ. 248 LT. 1A</t>
  </si>
  <si>
    <t>CALDERON MAVILA ABRAHAM HUGO</t>
  </si>
  <si>
    <t>9163-056-270520</t>
  </si>
  <si>
    <t>PANAMERICANA NORTE KM. 1087 MZ. A, LOTE 6 ZONA SEMI-INDUSTRIAL TALARA II ENACE</t>
  </si>
  <si>
    <t>LAZO INCA IVAN</t>
  </si>
  <si>
    <t>16718-056-080120</t>
  </si>
  <si>
    <t>GRIFO NACIONAL E.I.R.L.</t>
  </si>
  <si>
    <t>AV. MARISCAL CASTILLA N° 2896</t>
  </si>
  <si>
    <t>BASILIO DAMAS PORRAS</t>
  </si>
  <si>
    <t>116981-056-250719</t>
  </si>
  <si>
    <t>ESTACION DE SERVICIOS GRUPO A&amp;T PERU SOCIEDAD ANONIMA CERRADA</t>
  </si>
  <si>
    <t xml:space="preserve">SECTOR BANDIN PREDIO C.P. PARCELA 091 UC 05803 VIA LOS LIBERTADORES. </t>
  </si>
  <si>
    <t>SAN CLEMENTE</t>
  </si>
  <si>
    <t>C1:3314:GASOHOL 90 PLUS C2:3314:GASOHOL 97 PLUS </t>
  </si>
  <si>
    <t>C1:3331:GASOHOL 95 PLUS C2:3331:GASOHOL 90 PLUS </t>
  </si>
  <si>
    <t>C1:6640:Diesel B5 S-50 </t>
  </si>
  <si>
    <t>LUCIA KARINA ARCE TERRAZAS</t>
  </si>
  <si>
    <t>7948-056-101219</t>
  </si>
  <si>
    <t xml:space="preserve">AV. JOSE A. QUIÑONES ESQ. CALLE S/N MZ. 1 LTS. 1,2,3, Y 4 URB VALENCIA, Y LT B-12. URB MAGISTERIAL </t>
  </si>
  <si>
    <t>YANAHUARA</t>
  </si>
  <si>
    <t>C1:8700:GASOHOL 90 PLUS </t>
  </si>
  <si>
    <t>C1:3300:SIN PRODUCTO </t>
  </si>
  <si>
    <t>C1:3300:GASOHOL 97 PLUS </t>
  </si>
  <si>
    <t>126479-056-310519</t>
  </si>
  <si>
    <t>ESTACION DE SERVICIO CON GASOCENTRO DE GLP NICENZ S.R.L.</t>
  </si>
  <si>
    <t xml:space="preserve">CENTRO POBLADO EL ROSARIO MZ. I LT. 7 Y 8 </t>
  </si>
  <si>
    <t>LUZ MARILU TORRES RODRIGUEZ</t>
  </si>
  <si>
    <t>119383-056-251018</t>
  </si>
  <si>
    <t>GRUPO AMELIA E.I.R.L.</t>
  </si>
  <si>
    <t>AV. INDUSTRIAL Nº 324 LOTE 07</t>
  </si>
  <si>
    <t>C1:1500:GASOHOL 84 PLUS C2:1500:GASOHOL 95 PLUS </t>
  </si>
  <si>
    <t>9328-056-020820</t>
  </si>
  <si>
    <t>PETROGAS E.I.R.L.</t>
  </si>
  <si>
    <t>JR. GUILLERMO SISLEY Nº 1200</t>
  </si>
  <si>
    <t>GARDEL CARDENAS TORRES</t>
  </si>
  <si>
    <t>122124-056-080320</t>
  </si>
  <si>
    <t>SELVA GRIFOS E.I.R.L.</t>
  </si>
  <si>
    <t>PREDIO RURAL SANTA ELENA U.C. 31182 - CARRETERA FERNANDO BELAUNDE TERRY KM. 653</t>
  </si>
  <si>
    <t>JUAN GUERRA</t>
  </si>
  <si>
    <t>C1:9300:Diesel B5 S-50 </t>
  </si>
  <si>
    <t>C1:6000:Diesel B5 S-50 C2:3000:GASOLINA 95 </t>
  </si>
  <si>
    <t>C1:9300:GASOLINA 90 </t>
  </si>
  <si>
    <t>C1:9300:GASOLINA 84 </t>
  </si>
  <si>
    <t>DANTE ROJAS OLIVERA</t>
  </si>
  <si>
    <t>14742-056-261219</t>
  </si>
  <si>
    <t>GRIFOS LA TUNA S.A.C.</t>
  </si>
  <si>
    <t>AV. SANTIAGO DE SURCO N° 3600 MZ. MI LOTE-3 URB. LOS ROSALES</t>
  </si>
  <si>
    <t>C1:2000:SIN PRODUCTO C2:6000:Diesel B5 S-50 </t>
  </si>
  <si>
    <t>C1:5300:GASOHOL 95 PLUS C2:2700:GASOHOL 98 PLUS </t>
  </si>
  <si>
    <t>SONIA ERLITA PADILLA ALVARADO</t>
  </si>
  <si>
    <t>61741-056-120815</t>
  </si>
  <si>
    <t>GASOCENTRO CISNE S.R.L</t>
  </si>
  <si>
    <t>CALLE TOMAS SILES LT. N° 01, MZ. “E”, URB. EL PARQUE INDUSTRIAL</t>
  </si>
  <si>
    <t>TOMAS LINARES PAUCA</t>
  </si>
  <si>
    <t>21003-056-230916</t>
  </si>
  <si>
    <t>AV. MARIA REICHE S/N. CON SEPARADORA INDUSTRIAL - URB. PACHACAMAC</t>
  </si>
  <si>
    <t>C1:6000:Diesel B5 S-50,GASOHOL 95 PLUS </t>
  </si>
  <si>
    <t>126952-056-091019</t>
  </si>
  <si>
    <t>GRIFOS SANCHEZ CABRERA ESTACION SAN MARTIN S.A.C.</t>
  </si>
  <si>
    <t>AV. SAN MARTIN ESQ. ABRAHAM VALDELOMAR , LOTE 2B</t>
  </si>
  <si>
    <t>C1:4000:GASOHOL 95 PLUS C2:2000:GASOHOL 98 PLUS </t>
  </si>
  <si>
    <t>C1:4000:GASOHOL 90 PLUS C2:2000:Diesel B5 S-50 </t>
  </si>
  <si>
    <t>LIDIA EMILIA CABRERA HUAROTO</t>
  </si>
  <si>
    <t>86068-056-100219</t>
  </si>
  <si>
    <t>G. INVERSIONES S.A.C.</t>
  </si>
  <si>
    <t>CALLE N°2 ESQUINA CON CALLE N°10, MZ G, LOTE 7 ASOCIACIÓN APIAMO</t>
  </si>
  <si>
    <t>MOLLENDO</t>
  </si>
  <si>
    <t>C1:3580:GASOHOL 90 PLUS C2:1490:GASOHOL 95 PLUS C3:1540:GASOHOL 98 PLUS C4:1390:GASOHOL 84 PLUS </t>
  </si>
  <si>
    <t>JOSE FERNANDO GAMERO RIVERA</t>
  </si>
  <si>
    <t>83954-056-010819</t>
  </si>
  <si>
    <t>IDA ISABEL CONTRERAS VICTORIO</t>
  </si>
  <si>
    <t>AV. ANTONIO RAYMONDI Nº 247</t>
  </si>
  <si>
    <t>C1:2500:GASOHOL 84 PLUS C2:4000:GASOHOL 90 PLUS </t>
  </si>
  <si>
    <t>111636-056-010819</t>
  </si>
  <si>
    <t>ESTACION DE SERVICIOS GASOCENTRO MISABEL E.I.R.L.</t>
  </si>
  <si>
    <t>AV. MICAELA BASTIDAS CUADRA 3, URB. LA FLORESTA</t>
  </si>
  <si>
    <t>C1:4700:GASOHOL 90 PLUS C2:3500:GASOHOL 84 PLUS C3:1800:GASOHOL 97 PLUS </t>
  </si>
  <si>
    <t>LUIS MIGUEL MENDEZ CONTRERAS</t>
  </si>
  <si>
    <t>18324-056-150520</t>
  </si>
  <si>
    <t xml:space="preserve">AV. CHAMPAGNAT N° 1220 </t>
  </si>
  <si>
    <t>18314-056-150520</t>
  </si>
  <si>
    <t>ZONA INDUSTRIAL MZ. 235 LOTE 11 Y 12</t>
  </si>
  <si>
    <t>C1:5600:GASOHOL 90 PLUS </t>
  </si>
  <si>
    <t>9259-056-191016</t>
  </si>
  <si>
    <t xml:space="preserve">CESAR BELIZARIO LEON DELGADO </t>
  </si>
  <si>
    <t>LOS AMAUTAS Nº 215</t>
  </si>
  <si>
    <t>C1:2400:GASOHOL 84 PLUS C2:2150:Diesel B5 S-50 </t>
  </si>
  <si>
    <t>C1:2150:DIESEL B5 </t>
  </si>
  <si>
    <t>137469-056-130718</t>
  </si>
  <si>
    <t>PAGO AYMARA AV. JORGE BASADRE OESTE Nº 203</t>
  </si>
  <si>
    <t>C1:12600:Diesel B5 S-50 </t>
  </si>
  <si>
    <t>C1:5100:GASOHOL 90 PLUS </t>
  </si>
  <si>
    <t>C1:5100:GASOHOL 95 PLUS </t>
  </si>
  <si>
    <t>C1:5100:GASOHOL 98 PLUS </t>
  </si>
  <si>
    <t>JULIO CESAR CHOQUECOTA CONDORI</t>
  </si>
  <si>
    <t>125172-056-150520</t>
  </si>
  <si>
    <t>INVERSIONES PISHUPYACUN S.R.L.</t>
  </si>
  <si>
    <t>ESQUINA AV. JACINTO IBARRA Y AV. LOS PROCERES</t>
  </si>
  <si>
    <t>C1:3000:GASOHOL 90 PLUS C2:3500:GASOHOL 97 PLUS </t>
  </si>
  <si>
    <t>C1:3000:Diesel B5 S-50 C2:3500:GASOHOL 90 PLUS </t>
  </si>
  <si>
    <t>MOISES PIO QUISPE GUTARRA</t>
  </si>
  <si>
    <t>7233-056-040820</t>
  </si>
  <si>
    <t>AV. VICTORIA S/N</t>
  </si>
  <si>
    <t>C1:2000:GASOHOL 95 PLUS C2:4000:GASOHOL 90 PLUS </t>
  </si>
  <si>
    <t>140271-056-281218</t>
  </si>
  <si>
    <t>GRIFOS ESTRELLA DE DAVID E.I.R.L.</t>
  </si>
  <si>
    <t>AV. METROPOLITANA MZ. H LOTE 01 URB. LAS ORQUIDEAS</t>
  </si>
  <si>
    <t>C1:3000:GASOHOL 95 PLUS C2:2000:GASOHOL 84 PLUS </t>
  </si>
  <si>
    <t xml:space="preserve">SEGUNDO FORTUNATO RUIZ VARAS </t>
  </si>
  <si>
    <t>144359-056-110719</t>
  </si>
  <si>
    <t>AV. VENEZUELA 3300</t>
  </si>
  <si>
    <t>C1:12000:SIN PRODUCTO </t>
  </si>
  <si>
    <t>C1:18000:Diesel B5 S-50 </t>
  </si>
  <si>
    <t>129374-056-060418</t>
  </si>
  <si>
    <t>MULTISERVICIOS JD VENUS S.R.L.</t>
  </si>
  <si>
    <t>PREDIO BALDEON LOTE B1 SECTOR GARGANTO</t>
  </si>
  <si>
    <t>C4:5000:GASOHOL 97 PLUS </t>
  </si>
  <si>
    <t>105319-056-090919</t>
  </si>
  <si>
    <t>ESTACION DE SERVICIOS DAVID NR S.A.C.</t>
  </si>
  <si>
    <t>AV. LA PAZ MZ. Ñ LOTES 11 Y 12 AA.HH. LOS ANGELES</t>
  </si>
  <si>
    <t>URCINIO NORIEGA RAVELO</t>
  </si>
  <si>
    <t>83561-056-161019</t>
  </si>
  <si>
    <t>ESTACION DE SERVICIOS SEÑOR DE BURGOS E.I.R.L.</t>
  </si>
  <si>
    <t>JR. ALFONSO UGARTE N° 813</t>
  </si>
  <si>
    <t>CLEVER FLORENCIO ACOSTA Y RODRIGUEZ</t>
  </si>
  <si>
    <t>17843-056-12219</t>
  </si>
  <si>
    <t>AV. VICTOR LARCO HERRERA Nº 1234 - 1236 LOTE A1 URB. SANTA EDELMIRA</t>
  </si>
  <si>
    <t>C1:3307:GASOHOL 90 PLUS </t>
  </si>
  <si>
    <t>C1:3307:GASOHOL 95 PLUS </t>
  </si>
  <si>
    <t>C1:2202:GASOHOL 90 PLUS </t>
  </si>
  <si>
    <t>C1:3316:SIN PRODUCTO </t>
  </si>
  <si>
    <t>C1:2211:Diesel B5 S-50 </t>
  </si>
  <si>
    <t>C1:1096:GASOHOL 97 PLUS </t>
  </si>
  <si>
    <t>40511-056-080519</t>
  </si>
  <si>
    <t>SHILCAYO GRIFO S.R.L.</t>
  </si>
  <si>
    <t>AV. VIA DE EVITAMIENTO CDRA 22</t>
  </si>
  <si>
    <t>LA BANDA DE SHILCAYO</t>
  </si>
  <si>
    <t>C1:10000:GASOLINA 95 </t>
  </si>
  <si>
    <t>128292-056-090718</t>
  </si>
  <si>
    <t xml:space="preserve">GALA.Y.N. ASOCIADOS EIRL </t>
  </si>
  <si>
    <t>PREDIO S/N - CARRETERA PANAMERICANA SUR KM. 293</t>
  </si>
  <si>
    <t>C1:3500:GASOHOL 95 PLUS C2:1500:GASOHOL 97 PLUS </t>
  </si>
  <si>
    <t>JESUS NATALIA MALDONADO ZEVALLOS</t>
  </si>
  <si>
    <t>8569-056-040918</t>
  </si>
  <si>
    <t>SERVICENTRO SAN LUIS S.R.L.</t>
  </si>
  <si>
    <t>AV. ESTEBAN PAVLETICH Nº 632, SECTOR 3 - SAN LUIS</t>
  </si>
  <si>
    <t>C1:2500:GASOHOL 90 PLUS C2:4000:GASOHOL 90 PLUS </t>
  </si>
  <si>
    <t>KATTY MARLENI SALVADOR BAUTISTA</t>
  </si>
  <si>
    <t>14538-056-040614</t>
  </si>
  <si>
    <t>AV. FRANCISCO DE PAULA OTERO N° 317</t>
  </si>
  <si>
    <t>C1:4500:GASOHOL 90 PLUS C2:3500:GASOHOL 97 PLUS </t>
  </si>
  <si>
    <t>MIRCO TEODOSIO GARCIA ESPINOZA</t>
  </si>
  <si>
    <t>136971-056-250718</t>
  </si>
  <si>
    <t>BERCORD E.I.R.L.</t>
  </si>
  <si>
    <t>SECTOR LA CAPILLA PREDIO LA CHOZA S/N</t>
  </si>
  <si>
    <t>LUIS BERNARDO CORDOVA CAHUA</t>
  </si>
  <si>
    <t>7319-056-150817</t>
  </si>
  <si>
    <t>AUTO SERVICIO LA PERLA S.A.</t>
  </si>
  <si>
    <t>AV. VENEZUELA 1050</t>
  </si>
  <si>
    <t>LA PERLA</t>
  </si>
  <si>
    <t>MARIA ROSA COGORNO VDA. DE ANTOLA</t>
  </si>
  <si>
    <t>7183-056-040916</t>
  </si>
  <si>
    <t>AERO GAS DEL NORTE S.A.C. SECTOR</t>
  </si>
  <si>
    <t>CARRETERA PANAMERICANA NORTE KM 764 + 190 M SECTOR CHOSICA DEL NORTE</t>
  </si>
  <si>
    <t>C1:1500:GASOHOL 84 PLUS C2:1500:GASOHOL 90 PLUS </t>
  </si>
  <si>
    <t>C1:1500:GASOHOL 95 PLUS C2:1500:GASOHOL 98 PLUS </t>
  </si>
  <si>
    <t>C1:4175:DIESEL B5 </t>
  </si>
  <si>
    <t xml:space="preserve">PEDRO CIERTO CABRERA </t>
  </si>
  <si>
    <t>18824-056-310517</t>
  </si>
  <si>
    <t>AV. TINGO MARIA N° 994, ESQUINA CON AV. REPUBLICA DE VENEZUELA N° 1820</t>
  </si>
  <si>
    <t>C2:4000:SIN PRODUCTO </t>
  </si>
  <si>
    <t>4180:GAS LICUADO DE PETROLEO </t>
  </si>
  <si>
    <t>7188-056-270417</t>
  </si>
  <si>
    <t>ESTACION DE SERVICIO CORAZON DE JESUS S.A.C.</t>
  </si>
  <si>
    <t>AV. PROCERES DE LA INDEPENDENCIA N° 197-199</t>
  </si>
  <si>
    <t>ELIZABETH GRACIELA DELGADO BELLIDO</t>
  </si>
  <si>
    <t>44661-056-201020</t>
  </si>
  <si>
    <t>GASOCENTRO VISTA ALEGRE S.A.C.</t>
  </si>
  <si>
    <t>INTERSECCION DE LA AV. CHICLAYO CON CALLE SAN MARTIN N° 1801 URBANIZACION CARLOS STEIN CHAVEZ</t>
  </si>
  <si>
    <t>CABRERA PEREZ HERMES ADOLFO</t>
  </si>
  <si>
    <t>34893-056-080819</t>
  </si>
  <si>
    <t>ESTACION DE SERVICIOS VILLARREAL S.R.L.</t>
  </si>
  <si>
    <t>AVENIDA FEDERICO VILLARREAL N° 1310 ESQUINA CON CALLE JUAN DEL CORRAL N° 1095 URBANIZACION EL BOSQUE</t>
  </si>
  <si>
    <t>C1:3600:GASOHOL 90 PLUS </t>
  </si>
  <si>
    <t>C1:4400:GASOHOL 95 PLUS C2:3600:GASOHOL 90 PLUS </t>
  </si>
  <si>
    <t>ROGER AMERICO DOMINGUEZ MENDIETA</t>
  </si>
  <si>
    <t>7058-056-231015</t>
  </si>
  <si>
    <t>INVERSIONES PICORP S.A.C.</t>
  </si>
  <si>
    <t>JR. VIRU Nº 606</t>
  </si>
  <si>
    <t>C1:4000:SIN PRODUCTO C2:4000:GASOHOL 84 PLUS </t>
  </si>
  <si>
    <t>94702-056-200119</t>
  </si>
  <si>
    <t>AV. ARGENTINA NRO. 2600 P.J. LUJAN</t>
  </si>
  <si>
    <t>FERNANDEZ VASQUEZ YONY BELLO</t>
  </si>
  <si>
    <t>8707-056-251019</t>
  </si>
  <si>
    <t>SERVICENTRO LAS AMERICAS S.A.C.</t>
  </si>
  <si>
    <t>AV. LAS AMERICAS KM. 7</t>
  </si>
  <si>
    <t>CARMEN DEL PILAR YONJOY HUAMAN</t>
  </si>
  <si>
    <t>90175-056-200520</t>
  </si>
  <si>
    <t>ESTACION DE SERVICIOS INTIYACU S.A.C.</t>
  </si>
  <si>
    <t>JR. AUGUSTO B. LEGUIA Y CALLE S/N BARRIO INTIYACU ALTURA DEL KM. 100 DE LA CARRETERA FERNANDO BELAUNDE TERRY</t>
  </si>
  <si>
    <t>C1:10500:Diesel B5 S-50 </t>
  </si>
  <si>
    <t>C1:10500:GASOLINA 84 </t>
  </si>
  <si>
    <t>C1:6036:GASOLINA 90 C2:3182:GASOLINA 95 </t>
  </si>
  <si>
    <t>OSCAR ZEVALLOS ACOSTA</t>
  </si>
  <si>
    <t>146933-056-101019</t>
  </si>
  <si>
    <t>CONSTRUCTORES MINERO ANDES S.R.L.</t>
  </si>
  <si>
    <t>CARRETERA CIUDAD DE DIOS – CAJAMARCA KM 169 + 595 – SECTOR SAN ANTONIO DE AGOMARCA (REF. A 500 M DEL CRUCE A PARIAMARCA)</t>
  </si>
  <si>
    <t xml:space="preserve">JUAN HUATAY INFANTE </t>
  </si>
  <si>
    <t>43777-056-190615</t>
  </si>
  <si>
    <t>ESTACION DE SERVICIO SANTA ANITA S.A.C.</t>
  </si>
  <si>
    <t xml:space="preserve">AV. METROPOLITANA MZ. C-8 LOTE 20 </t>
  </si>
  <si>
    <t>C1:2000:GASOHOL 90 PLUS C2:3000:GASOHOL 90 PLUS C3:3000:GASOHOL 95 PLUS </t>
  </si>
  <si>
    <t>C1:2000:Diesel B5 S-50 C2:6000:Diesel B5 S-50 </t>
  </si>
  <si>
    <t>7533-056-070513</t>
  </si>
  <si>
    <t>FELIX CESAR CALDERON NUÑEZ</t>
  </si>
  <si>
    <t>AV. LAS AMERICAS N° 101</t>
  </si>
  <si>
    <t>JACOBO HUNTER</t>
  </si>
  <si>
    <t>110760-056-280519</t>
  </si>
  <si>
    <t>ESTACION DE SERVICIOS FABIOLITA S.A.C.</t>
  </si>
  <si>
    <t>AV. ANDRES RAZURI Nª 690 Y VIA DE EVITAMIENTO S/N - BARRIO SAN ANTONIO</t>
  </si>
  <si>
    <t>HAYDON LEON MALLMA FLORES</t>
  </si>
  <si>
    <t>89074-056-140520</t>
  </si>
  <si>
    <t>JEPOAR MANCORA INVERSIONES S.A.C.</t>
  </si>
  <si>
    <t xml:space="preserve">AV. GRAU S/N </t>
  </si>
  <si>
    <t>MANCORA</t>
  </si>
  <si>
    <t>C1:3100:Diesel B5 S-50 C2:1500:GASOHOL 95 PLUS </t>
  </si>
  <si>
    <t>C1:2300:GASOHOL 90 PLUS C2:2300:GASOHOL 84 PLUS </t>
  </si>
  <si>
    <t xml:space="preserve">POZO CASTRO PAVEL CARLOS </t>
  </si>
  <si>
    <t>101335-056-121219</t>
  </si>
  <si>
    <t xml:space="preserve">ESQ. AV. MIGUEL GRAU CON CALLE JOSE CARLOS MARIATEGUI, AA.HH. EL MILAGRO,SECTOR 1 MZ 5 LOTE 4 </t>
  </si>
  <si>
    <t>31917-056-220920</t>
  </si>
  <si>
    <t>ESTACIÓN DE SERVICIOS LI S.A.C.</t>
  </si>
  <si>
    <t>CARRETERA PANAMERICANA NORTE N° 990, BARRIO VALDIVIA</t>
  </si>
  <si>
    <t>C1:2000:GASOHOL 84 PLUS C2:2000:GASOHOL 90 PLUS C3:2000:GASOHOL 95 PLUS C4:2000:GASOHOL 97 PLUS </t>
  </si>
  <si>
    <t>NANCY LILIANA PERALTA GARCIA</t>
  </si>
  <si>
    <t>111585-056-271118</t>
  </si>
  <si>
    <t>MB PERU PACIFICO S.R.L.</t>
  </si>
  <si>
    <t>AV. MARGINAL N° 930, 940 Y 950, ESQUINA CON ALAMEDA BELLO HORIZONTE N° 395 Y 397</t>
  </si>
  <si>
    <t>C1:3984:Diesel B5 S-50 C2:3984:Diesel B5 S-50 </t>
  </si>
  <si>
    <t>C1:2974:GASOHOL 97 PLUS C2:2942:GASOHOL 90 PLUS C3:1976:GASOHOL 84 PLUS </t>
  </si>
  <si>
    <t>FERNANDO MANCCO BARRA</t>
  </si>
  <si>
    <t>45286-056-010819</t>
  </si>
  <si>
    <t>REPRESENTACIONES SOSA S.A.C.</t>
  </si>
  <si>
    <t xml:space="preserve">CARRETERA CENTRAL TARMA - CHANCHAMAYO, PREDIO DENOMINADO CANCHAY 1-2 ANTACUCHO </t>
  </si>
  <si>
    <t>PALCA</t>
  </si>
  <si>
    <t>LUCY JOWANY YARO BALBIN</t>
  </si>
  <si>
    <t>16713-056-2010</t>
  </si>
  <si>
    <t>FERRETERIA LOS HUERTOS DE SANTA ROSA S.A.C.</t>
  </si>
  <si>
    <t>ANTIGUA PANAMERICANA SUR, ESQ. CON AV. LOS ALAMOS MZ. A, LOTE 1</t>
  </si>
  <si>
    <t>C1:2130:Diesel B2 S-50 </t>
  </si>
  <si>
    <t>C1:2130:GASOLINA 90 </t>
  </si>
  <si>
    <t>C1:2130:GASOLINA 95 </t>
  </si>
  <si>
    <t>ROSA ELVIRA MARTINEZ BACA</t>
  </si>
  <si>
    <t>6874-056-240718</t>
  </si>
  <si>
    <t>AV. GERARDO UNGER N° 3689, MZ D LOTE 26, URB. HABILITACIÓN PANAMERICANA NORTE</t>
  </si>
  <si>
    <t>C1:5940:GASOHOL 90 PLUS C2:5340:GASOHOL 98 PLUS </t>
  </si>
  <si>
    <t>C1:5490:GASOHOL 95 PLUS C2:5940:Diesel B5 S-50 </t>
  </si>
  <si>
    <t>C1:11790:Diesel B5 S-50 </t>
  </si>
  <si>
    <t>4200:GAS LICUADO DE PETROLEO </t>
  </si>
  <si>
    <t>149481-056-290720</t>
  </si>
  <si>
    <t>COMBUSTIBLES BUENOS AIRES EMPRESA INDIVIDUAL DE RESPONSABILIDAD LIMITADA</t>
  </si>
  <si>
    <t>AV. PANGOA S/N ASOCIACION DE VIVIENDA BUENOS AIRES</t>
  </si>
  <si>
    <t>C1:6000:GASOHOL 90 PLUS C2:2000:GASOHOL 95 PLUS C3:1900:GASOHOL 84 PLUS </t>
  </si>
  <si>
    <t>CONTRERAS VICTORIO JOSE ANGEL</t>
  </si>
  <si>
    <t>6759-056-100813</t>
  </si>
  <si>
    <t>GRIFOS CAJAMARCA S.A.C.</t>
  </si>
  <si>
    <t>AV. PACHACUTEC NO. 2334</t>
  </si>
  <si>
    <t>ENRIQUE ROJAS SANCHEZ</t>
  </si>
  <si>
    <t>114600-056-181215</t>
  </si>
  <si>
    <t>GRIFOS GRAN PRIX S.A.C.</t>
  </si>
  <si>
    <t xml:space="preserve">MZA. “R” LOTE 09 – PUEBLO JOVEN LAS MERCEDES </t>
  </si>
  <si>
    <t>C1:6000:DIESEL B5,GASOHOL 84 PLUS,GASOHOL 90 PLUS,GASOHOL 95 PLUS </t>
  </si>
  <si>
    <t>45168-056-210118</t>
  </si>
  <si>
    <t>COORPORACION VCC E.I.R.L.</t>
  </si>
  <si>
    <t>AV. AREVALO 552</t>
  </si>
  <si>
    <t>C1:5900:GASOHOL 95 PLUS </t>
  </si>
  <si>
    <t>C1:5900:GASOHOL 97 PLUS </t>
  </si>
  <si>
    <t>DELFINA ATACHAGUA MAURICIO VDA. DE CORDOVA</t>
  </si>
  <si>
    <t>124935-056-120717</t>
  </si>
  <si>
    <t>AV. AMERICA OESTE N° 138, 142, 150 LOTE A</t>
  </si>
  <si>
    <t>8677-056-100620</t>
  </si>
  <si>
    <t>CARRETERA PANAMERCIANA NORTE KM 782 + 500</t>
  </si>
  <si>
    <t>C1:5350:Diesel B5 S-50 </t>
  </si>
  <si>
    <t>C1:5350:GASOHOL 95 PLUS </t>
  </si>
  <si>
    <t>C1:2675:GASOHOL 90 PLUS C2:2675:GASOHOL 84 PLUS </t>
  </si>
  <si>
    <t xml:space="preserve">PEDRO NOE BRYZON ROCA </t>
  </si>
  <si>
    <t>7840-056-260817</t>
  </si>
  <si>
    <t>ESTACION DE SERVICIOS SEÑOR DE LA SOLEDAD S.R.L.</t>
  </si>
  <si>
    <t>CARRETERA CAMBIO PUENTE (PROLONGACIÓN AVENIDA BUENOS AIRES) PARCELA N° 11013-A, PREDIO RÚSTICO LA RINCONADA</t>
  </si>
  <si>
    <t>3500:GLP - G </t>
  </si>
  <si>
    <t>RICARDO EDILBERTO ARELLANO RAMIREZ</t>
  </si>
  <si>
    <t>33379-056-081219</t>
  </si>
  <si>
    <t>ESTACION DE SERVICIOS BELLAVISTA E.I.R.L.</t>
  </si>
  <si>
    <t>CARRETERA MARGINAL KM.101</t>
  </si>
  <si>
    <t>VICTORIA DE LA CRUZ UÑATES</t>
  </si>
  <si>
    <t>89505-056-130916</t>
  </si>
  <si>
    <t>ESTACION DE SERVICIO BELNORTE S.A.C.</t>
  </si>
  <si>
    <t>MANZANA A LOTES 10 Y 11 ZONA INDUSTRIAL LOS PINOS</t>
  </si>
  <si>
    <t>FRANCISCO BEJARANO BURGOS</t>
  </si>
  <si>
    <t>7181-056-221119</t>
  </si>
  <si>
    <t>AV. LA MOLINA N° 1595, URB. SOL DE LA MOLINA</t>
  </si>
  <si>
    <t>16649-056-210416</t>
  </si>
  <si>
    <t>AV. PETIT THOUARS Nº 3305 - 3307</t>
  </si>
  <si>
    <t>6986-056-261119</t>
  </si>
  <si>
    <t>INVERSIONES MULTIGRIFOS ASOCIADOS S.A.C.</t>
  </si>
  <si>
    <t>AV. VICTOR ANDRÉS BELAUNDE 420 - 428</t>
  </si>
  <si>
    <t>PUEBLO NUEVO</t>
  </si>
  <si>
    <t>LUCY MIGUELINA JUAREZ OCHOA</t>
  </si>
  <si>
    <t>95522-056-120413</t>
  </si>
  <si>
    <t>ESTACION DE SERVICIOS CRUCE SAN JOAQUIN S.A.C.</t>
  </si>
  <si>
    <t>CALLE MALECON LA VICTORIA N° 543 Y 544 ESQUINA CON PASAJE LA TINGUIÑA</t>
  </si>
  <si>
    <t>C1:2000:GASOHOL 90 PLUS C2:2000:DIESEL B5 </t>
  </si>
  <si>
    <t>IRINEO MEZA ARAUJO</t>
  </si>
  <si>
    <t>89942-056-010319</t>
  </si>
  <si>
    <t>GRIFO ROCA SAC</t>
  </si>
  <si>
    <t>CARRETERA PANAMERICANA NORTE KM. 803</t>
  </si>
  <si>
    <t>MORROPE</t>
  </si>
  <si>
    <t>C1:2500:DIESEL B5,Diesel B5 S-50 C2:1500:GASOHOL 84 PLUS </t>
  </si>
  <si>
    <t>C1:1500:GASOHOL 90 PLUS C2:2500:GASOHOL 95 PLUS </t>
  </si>
  <si>
    <t>144337-056-201219</t>
  </si>
  <si>
    <t>ESTACION DE SERVICIOS GRAN CAIMAN S.A.C.</t>
  </si>
  <si>
    <t>JR. FREDY ALIAGA CDRA 33 CON JR. EMETERIO ALIAGA CDRA 04</t>
  </si>
  <si>
    <t>JAIME BENITO JARA DOMINGUEZ</t>
  </si>
  <si>
    <t>137634-056-061020</t>
  </si>
  <si>
    <t>A&amp;G TRANSPORTE Y COMERCIALIZACION S.R.L.</t>
  </si>
  <si>
    <t>MZ. I LOTE 1 ZONA INDUSTRIAL II COMPLEMENTARIA</t>
  </si>
  <si>
    <t>C1:3450:GASOHOL 90 PLUS </t>
  </si>
  <si>
    <t>C1:3450:GASOHOL 95 PLUS </t>
  </si>
  <si>
    <t>C1:3450:GASOHOL 97 PLUS </t>
  </si>
  <si>
    <t>C1:6800:Diesel B5 S-50 </t>
  </si>
  <si>
    <t>FLORENCIO ANTON ALVAREZ</t>
  </si>
  <si>
    <t>8232-056-070319</t>
  </si>
  <si>
    <t>AV. PANAMERICANA SUR Nº 636</t>
  </si>
  <si>
    <t>139116-056-181018</t>
  </si>
  <si>
    <t>SERVICENTRO BRAYMAR K Y G S.R.L.</t>
  </si>
  <si>
    <t>CASERIO LOS PINOS KM 40</t>
  </si>
  <si>
    <t>CAMPOVERDE</t>
  </si>
  <si>
    <t>C1:4000:GASOLINA 90 C2:4000:GASOLINA 90 </t>
  </si>
  <si>
    <t>GERSON DAVID TAFUR NIETO</t>
  </si>
  <si>
    <t>134236-056-210819</t>
  </si>
  <si>
    <t>GRIFO CONTINENTAL S.A.C.</t>
  </si>
  <si>
    <t>VIA EVITAMIENTO NORTE S/N SECTOR 5 LA ALAMEDA 2DA ETAPA (CRUCE CON CA. FELIX MENDELSSOHN - A 01 CUADRA DE SUNAT)</t>
  </si>
  <si>
    <t xml:space="preserve">JAIME ALEJANDRO CABANILLAS RAMOS </t>
  </si>
  <si>
    <t>43452-056-131017</t>
  </si>
  <si>
    <t>GRIFO MAZECHI S.A.C.</t>
  </si>
  <si>
    <t>AV. HUANCAVELICA Nº 268</t>
  </si>
  <si>
    <t>C1:6460:GASOHOL 90 PLUS </t>
  </si>
  <si>
    <t>C1:2192:GASOHOL 90 PLUS </t>
  </si>
  <si>
    <t>C1:6567:Diesel B5 S-50 </t>
  </si>
  <si>
    <t>ROGER ZEVALLOS CHIOK</t>
  </si>
  <si>
    <t>39167-056-190914</t>
  </si>
  <si>
    <t>OPERACIONES &amp; SERVICIOS GENERALES S.A.</t>
  </si>
  <si>
    <t>CIRCUITO DE PLAYAS - PLAYA MARBELLA</t>
  </si>
  <si>
    <t>MAGDALENA DEL MAR</t>
  </si>
  <si>
    <t>C1:3500:DIESEL 2,Diesel B5 S-50,GASOLINA 98 C2:3500:GASOHOL 97 PLUS </t>
  </si>
  <si>
    <t>C1:3500:GASOHOL 90 PLUS,GASOLINA 90,GASOLINA 95 C2:3500:GASOHOL 95 PLUS </t>
  </si>
  <si>
    <t>43930-056-090816</t>
  </si>
  <si>
    <t>TRADCOM E.I.R.L.</t>
  </si>
  <si>
    <t>CARRETERA PANAMERICANA NORTE N° 1598</t>
  </si>
  <si>
    <t>FRANK ERICK SIERRA ALEGRE</t>
  </si>
  <si>
    <t>82629-056-030718</t>
  </si>
  <si>
    <t xml:space="preserve">AV. JORGE CHAVEZ LOTE 05, ASOCIACION DE VIVIENDA LOS LIBERTADORES (CARRETERA A SAN JUAN BAUTISTA) </t>
  </si>
  <si>
    <t>C1:8443:Diesel B5 S-50 </t>
  </si>
  <si>
    <t>C1:2081:GASOHOL 95 PLUS C2:2081:GASOHOL 90 PLUS C3:4273:GASOHOL 84 PLUS </t>
  </si>
  <si>
    <t>62582-056-050319</t>
  </si>
  <si>
    <t>LUIS ENRIQUE BECERRA JIMENEZ</t>
  </si>
  <si>
    <t>AV. LOS TOPOGRAFOS MZ.N LT.1 GRUPO RESIDENCIAL BARRIO XVI SECTOR H PROYECTO ESPECIAL PACHACUTEC</t>
  </si>
  <si>
    <t>C1:1037:GASOHOL 95 PLUS C2:1037:GASOHOL 90 PLUS </t>
  </si>
  <si>
    <t>C1:3112:Diesel B5 S-50 C2:1000:SIN PRODUCTO </t>
  </si>
  <si>
    <t>141073-056-191219</t>
  </si>
  <si>
    <t>NUTRIGAS S.A.C.</t>
  </si>
  <si>
    <t>LOTE 6 SECTOR GARGANTO PANAMERICANA SUR S/N</t>
  </si>
  <si>
    <t>C1:4000:GASOHOL 90 PLUS C2:2000:GASOHOL 97 PLUS C3:2000:GASOHOL 95 PLUS C4:2000:GASOHOL 84 PLUS </t>
  </si>
  <si>
    <t>BRUNDICH PALOMINO CHRISTIAN JESUS</t>
  </si>
  <si>
    <t>36538-056-080920</t>
  </si>
  <si>
    <t>ESTACION DE SERVICIOS LI S.A.C.</t>
  </si>
  <si>
    <t>NUEVA PISTA HUACHO - CARQUIN S/N. SECTOR CAMPO ALEGRE</t>
  </si>
  <si>
    <t>C1:2200:GASOHOL 84 PLUS C2:1100:GASOHOL 95 PLUS </t>
  </si>
  <si>
    <t>93532-056-280317</t>
  </si>
  <si>
    <t>SJR S.A.C.</t>
  </si>
  <si>
    <t>ESQUINA AV. AMERICA SUR CON CALLE FRANCISCO MONTESINOS S/N (CALLE 4), MZ. C LOTE 02, URB. EL SOL</t>
  </si>
  <si>
    <t>C1:6021:DIESEL B5,Diesel B5 S-50 </t>
  </si>
  <si>
    <t>C1:1540:GASOHOL 95 PLUS C2:1540:GASOHOL 90 PLUS C3:3167:GASOHOL 84 PLUS </t>
  </si>
  <si>
    <t>4320:GAS LICUADO DE PETROLEO </t>
  </si>
  <si>
    <t>112175-056-030920</t>
  </si>
  <si>
    <t>C &amp; M RED DE ESTACIONES DE SERVICIOS SOCIEDAD ANONIMA CERRADA - C &amp; M RED DE ESTACIONES DE SERVICIOS</t>
  </si>
  <si>
    <t>FUNDO CASA BLANCA Y SARAN KM. 02 CARRETERA A FERREÑAFE</t>
  </si>
  <si>
    <t>C1:6003:Diesel B5 S-50 </t>
  </si>
  <si>
    <t>C1:3841:GASOHOL 90 PLUS C2:2052:GASOHOL 95 PLUS </t>
  </si>
  <si>
    <t>C1:3048:GASOHOL 84 PLUS </t>
  </si>
  <si>
    <t>38290-056-270720</t>
  </si>
  <si>
    <t>SERVICENTRO SALAZAR S.A.C.</t>
  </si>
  <si>
    <t>ESQUINA AV. AMAZONAS CUADRA 7 CON JR. CHICLAYO CUADRA 6</t>
  </si>
  <si>
    <t>ESTEBAN SALAZAR SILVA</t>
  </si>
  <si>
    <t>39362-056-021019</t>
  </si>
  <si>
    <t>MULTISERVICIOS AURORA E.I.R.L.</t>
  </si>
  <si>
    <t>CARRETERA CENTRAL KM. 332 - CAJAMARQUILLA - LA AURORA</t>
  </si>
  <si>
    <t>C1:12000:DIESEL B5 </t>
  </si>
  <si>
    <t>ANGEL CRISANTO AGUILAR GUIDO</t>
  </si>
  <si>
    <t>116448-056-171018</t>
  </si>
  <si>
    <t xml:space="preserve">MARIA LUZ ANGELICA RAMOS OJEDA </t>
  </si>
  <si>
    <t>AV. SUPERACION Nº 106 KM. 27 CASERIO DE PEDREGAL</t>
  </si>
  <si>
    <t>SIMBAL</t>
  </si>
  <si>
    <t>111520-056-291215</t>
  </si>
  <si>
    <t xml:space="preserve">RENSO &amp; RUTH INVERSIONES ASOCIADAS S.A.C </t>
  </si>
  <si>
    <t xml:space="preserve">AV. LIBERTAD MZ. F, LOTE 17. </t>
  </si>
  <si>
    <t>C1:1100:GASOHOL 90 PLUS,GLP - G C2:1100:GASOHOL 90 PLUS C3:1100:GASOHOL 95 PLUS </t>
  </si>
  <si>
    <t>2500:Cilindros de 10 Kg de GLP </t>
  </si>
  <si>
    <t>RENSO SILES JANEIRO</t>
  </si>
  <si>
    <t>117167-056-080919</t>
  </si>
  <si>
    <t xml:space="preserve">AV. FEDERICO VILLARREAL N° 2010 CALLE S/N URB. SEMIRUSTICA EL BOSQUE, MZ. V LT 01-A </t>
  </si>
  <si>
    <t>21358-056-220118</t>
  </si>
  <si>
    <t>PANAMERICANA SUR KM. 30 - PARCELA B21, PARCELA B21 A1, EX FUNDO SAN PEDRO</t>
  </si>
  <si>
    <t>92847-056-081020</t>
  </si>
  <si>
    <t>GUTIS GAS STATION S.A.C</t>
  </si>
  <si>
    <t>ESQUINA AV. NUEVO TRUJILLO Y CALLE PACASMAYO MZ. 66 LT. 10 C.P.M. VICTOR RAUL HAYA DE LA TORRE</t>
  </si>
  <si>
    <t>C1:1535:Diesel B5 S-50 </t>
  </si>
  <si>
    <t>CESAR ALBERTO GUTIERREZ ALFARO</t>
  </si>
  <si>
    <t>21727-056-100816</t>
  </si>
  <si>
    <t>LAUREANO ELIAS JUAREZ OCHOA</t>
  </si>
  <si>
    <t>AV. VICTOR ANDRES BELAUNDE N° 598 ESQUINA CON JR. SANTA ROSA MZ. 39 LOTES 38, 39, 40, 41 Y 42</t>
  </si>
  <si>
    <t>C1:2000:Diesel B5 S-50 C2:2000:GASOHOL 95 PLUS </t>
  </si>
  <si>
    <t>4300:GAS LICUADO DE PETROLEO </t>
  </si>
  <si>
    <t>9585-056-120520</t>
  </si>
  <si>
    <t>GRIFO EL MILENIO E.I.R.L.</t>
  </si>
  <si>
    <t>CARRETERA PANAMERICANA NORTE PIURA SULLANA KM 1046</t>
  </si>
  <si>
    <t>C1:3000:GASOHOL 90 PLUS C2:3000:GASOHOL 95 PLUS C3:1250:GASOHOL 97 PLUS C4:1250:GASOHOL 84 PLUS </t>
  </si>
  <si>
    <t>CASTRO CHAVEZ MARINA</t>
  </si>
  <si>
    <t>8586-056-071119</t>
  </si>
  <si>
    <t>AV. LA PAZ N° 915. ESQ. CON CALLE INCLAN</t>
  </si>
  <si>
    <t>SAN MIGUEL</t>
  </si>
  <si>
    <t>21190-056-021017</t>
  </si>
  <si>
    <t>COMBUSTIBLES DEL ORIENTE S.A.C.</t>
  </si>
  <si>
    <t>CARRETERA FEDERICO BASADRE KM. 6.200 - PUCALLPA</t>
  </si>
  <si>
    <t>C1:9000:DIESEL B2 </t>
  </si>
  <si>
    <t>C1:9000:GASOHOL 97 PLUS </t>
  </si>
  <si>
    <t>C1:5000:GAS LICUADO DE PETROLEO </t>
  </si>
  <si>
    <t>ARIAS VICUÑA GUIDO JAIME</t>
  </si>
  <si>
    <t>8695-056-170719</t>
  </si>
  <si>
    <t>GRIFO CL &amp; HNOS S.R.L.</t>
  </si>
  <si>
    <t>AV. LAMBAYEQUE Nº 598 PUEBLO JOVEN RAMIRO PRIALE</t>
  </si>
  <si>
    <t>C1:3500:GASOHOL 84 PLUS C2:1744:GASOHOL 90 PLUS </t>
  </si>
  <si>
    <t>C1:4494:Diesel B5 S-50 </t>
  </si>
  <si>
    <t>JHONLUIS SALAZAR ZEGARRA</t>
  </si>
  <si>
    <t>9050-056-041017</t>
  </si>
  <si>
    <t>SERVICENTRO PERENE E.I.R.L.</t>
  </si>
  <si>
    <t>CARRETERA MARGINAL KM. 70</t>
  </si>
  <si>
    <t>C2:3250:GASOHOL 84 PLUS </t>
  </si>
  <si>
    <t>C1:3250:GASOHOL 95 PLUS </t>
  </si>
  <si>
    <t>C1:3250:SIN PRODUCTO </t>
  </si>
  <si>
    <t>EDILBERTO CIRILO COLLACHAGUA COTERA</t>
  </si>
  <si>
    <t>96520-056-240919</t>
  </si>
  <si>
    <t>EKYS INVERSIONES S.A.C.</t>
  </si>
  <si>
    <t>AV. JOSE CARLOS MARIATEGUI 1217</t>
  </si>
  <si>
    <t>C1:2000:Diesel B5 S-50 C2:2000:GASOHOL 95 PLUS C3:2000:GASOHOL 90 PLUS </t>
  </si>
  <si>
    <t>MIRIAM ELENA CHAICO BAUTISTA</t>
  </si>
  <si>
    <t>129333-056-150617</t>
  </si>
  <si>
    <t xml:space="preserve">ESTACION DE SERVICIOS NASCA </t>
  </si>
  <si>
    <t>CARRETERA PANAMERICANA SUR S7N - SECTOR FUNDO CALLANAL</t>
  </si>
  <si>
    <t>C1:4000:GASOHOL 90 PLUS C2:2000:GASOHOL 95 PLUS C3:2000:GASOHOL 98 PLUS </t>
  </si>
  <si>
    <t>TIOFANES ALATRISTA MEDINA</t>
  </si>
  <si>
    <t>8872-056-040118</t>
  </si>
  <si>
    <t>AV. VICTOR LARCO HERRERA N° 509 SECTOR BUENOS AIRES</t>
  </si>
  <si>
    <t>C1:1900:GASOHOL 95 PLUS </t>
  </si>
  <si>
    <t>FANNY SARA BENITES JOAQUIN</t>
  </si>
  <si>
    <t>21142-056-220118</t>
  </si>
  <si>
    <t>AV. 9 DE DICIEMBRE Nº 1104</t>
  </si>
  <si>
    <t>18851-056-140519</t>
  </si>
  <si>
    <t>ESTACION DE SERVICIOS EL TRANSPORTISTA E.I.R.L.</t>
  </si>
  <si>
    <t>PANAMERICANA NORTE KM 615</t>
  </si>
  <si>
    <t>PAIJAN</t>
  </si>
  <si>
    <t>C1:4000:GASOHOL 95 PLUS C2:4000:GASOHOL 84 PLUS </t>
  </si>
  <si>
    <t>31936-056-310816</t>
  </si>
  <si>
    <t>AV. LOS ANDES CON ESQUINA ANTENOR ORREGO Nº 1387</t>
  </si>
  <si>
    <t>140452-056-140520</t>
  </si>
  <si>
    <t>EE.SS. MALLARITOS S.A.C.</t>
  </si>
  <si>
    <t>PREDIO RUSTICO N° 10308, 10312 Y 11166</t>
  </si>
  <si>
    <t>6250:GAS LICUADO DE PETROLEO </t>
  </si>
  <si>
    <t>MORALES VIZCONDE PEDRO FRANCKS</t>
  </si>
  <si>
    <t>122362-056-180816</t>
  </si>
  <si>
    <t>LUBRICENTRO AUCALLAMA S.A.C.</t>
  </si>
  <si>
    <t xml:space="preserve">PARCELA 49, PROYECTO SAN JOSE DE MIRAFLORES </t>
  </si>
  <si>
    <t>MAURA MAXIMILIANA ROCHA JANAMPA</t>
  </si>
  <si>
    <t>37334-056-230718</t>
  </si>
  <si>
    <t>HI GAS S.A.C.</t>
  </si>
  <si>
    <t>AV PROLOGACIÓN JUAN LECAROS S/N ESQ. AV COPACABANA - URB LOS CRISANTEMOS</t>
  </si>
  <si>
    <t>C1:3000:Diesel B5 S-50 C2:1500:Diesel B5 S-50 C3:1500:GASOHOL 90 PLUS </t>
  </si>
  <si>
    <t>CHRISTIAN HOSEY HIGA SHIMABUKURO</t>
  </si>
  <si>
    <t>109567-056-271119</t>
  </si>
  <si>
    <t xml:space="preserve">GRIFOS ESPINOZA S.A. </t>
  </si>
  <si>
    <t>MZ. A LOTE 1, LOTIZACION 1ERA ETAPA, PARCELA 1, ZONA GRAN TRAPECIO</t>
  </si>
  <si>
    <t>C1:5170:Diesel B5 S-50 </t>
  </si>
  <si>
    <t>C1:4979:GASOHOL 95 PLUS </t>
  </si>
  <si>
    <t>C1:5185:GASOHOL 90 PLUS </t>
  </si>
  <si>
    <t>C1:2464:GASOHOL 90 PLUS C2:2464:GASOHOL 97 PLUS </t>
  </si>
  <si>
    <t>17912-056-110118</t>
  </si>
  <si>
    <t>CALLE REAL Nº 1305</t>
  </si>
  <si>
    <t>7347-056-130119</t>
  </si>
  <si>
    <t>T.R.M. S.A.C.</t>
  </si>
  <si>
    <t>CALLE SAN AGUSTIN N° 400, ESQUINA CON AV. LA MARINA</t>
  </si>
  <si>
    <t>C1:2700:GASOHOL 97 PLUS C2:4000:Diesel B5 S-50 </t>
  </si>
  <si>
    <t>C1:1200:SIN PRODUCTO </t>
  </si>
  <si>
    <t>RENZO CANÉ PARDO</t>
  </si>
  <si>
    <t>61860-056-230817</t>
  </si>
  <si>
    <t>AV. VICTOR RAUL HAYA DE LA TORRE N° 2396 MZ 1 LT 5</t>
  </si>
  <si>
    <t>C1:1500:GASOHOL 95 PLUS C2:1500:GASOHOL 90 PLUS C3:1500:GASOHOL 97 PLUS </t>
  </si>
  <si>
    <t>HENRY ALFREDO CACERES ALIAGA</t>
  </si>
  <si>
    <t>137905-056-090818</t>
  </si>
  <si>
    <t xml:space="preserve">CORPORACION FERRETERA DEL NORTE S.A.C. </t>
  </si>
  <si>
    <t>AV. FRANCISCO CUNEO N° 775</t>
  </si>
  <si>
    <t>C1:3500:GASOHOL 90 PLUS </t>
  </si>
  <si>
    <t>C1:1750:GASOHOL 84 PLUS C2:1750:GASOHOL 95 PLUS </t>
  </si>
  <si>
    <t>YENNY LISSET PEREZ AZAÑERO</t>
  </si>
  <si>
    <t>84666-056-260820</t>
  </si>
  <si>
    <t>C &amp; M RED DE ESTACIONES DE SERVICIOS S.A.C</t>
  </si>
  <si>
    <t>CALLE LORETO 215 ZONA INDUSTRIAL PATAZCA</t>
  </si>
  <si>
    <t>15409-056-300319</t>
  </si>
  <si>
    <t xml:space="preserve">CARRETERA PANAMERICANA NORTE KM. 696 </t>
  </si>
  <si>
    <t>19899-056-061020</t>
  </si>
  <si>
    <t>ESQUINA CARRETERA CENTRAL MARGEN IZQUIERDA KM. 21 CON AV. 8 DE DICIEMBRE</t>
  </si>
  <si>
    <t>C1:3000:GASOHOL 97 PLUS C2:5000:SIN PRODUCTO </t>
  </si>
  <si>
    <t xml:space="preserve">ABRAHAM HUGO CALDERON MAVILA </t>
  </si>
  <si>
    <t>132218-056-101017</t>
  </si>
  <si>
    <t>ESTACION DE SERVICIOS LAS PAMPAS S.A.C.</t>
  </si>
  <si>
    <t>PARCELA 05 SECTOR PAMPAS DE VENTANILLA</t>
  </si>
  <si>
    <t>C1:3080:GASOHOL 95 PLUS C2:3080:GASOHOL 97 PLUS </t>
  </si>
  <si>
    <t>C1:4164:GASOHOL 90 PLUS </t>
  </si>
  <si>
    <t>GUIDO ANDRES MORENO SALCEDO</t>
  </si>
  <si>
    <t>7525-056-091116</t>
  </si>
  <si>
    <t>INMOBILIARIA MIMARI S.R.L.</t>
  </si>
  <si>
    <t>AV. MARTIRES DEL PERIODISMO NRO 805</t>
  </si>
  <si>
    <t>C1:2000:GASOLINA 97 </t>
  </si>
  <si>
    <t>FELICIANO RODRIGO GONZALO SALVADOR</t>
  </si>
  <si>
    <t>21202-056-300318</t>
  </si>
  <si>
    <t xml:space="preserve">AMADA RAQUEL SOTELO RUEDA </t>
  </si>
  <si>
    <t>ESQ. AV. EL SOL CON AV. PASTOR SEVILLA, SECTOR 2, GRUPO 21-A, MZ. ZC, LT. C</t>
  </si>
  <si>
    <t>16694-056-280212</t>
  </si>
  <si>
    <t>INVERSIONES UCHIYAMA S.R.L. (OPERADOR DE C.L. Y GLP)</t>
  </si>
  <si>
    <t>AV. LA MAR N° 2382 Y AV. RIVAGÜERO N° 810 URB. PANDO IV ETAPA (ANTES AV. RIVA AGUERO ESQ. CON LA MAR)</t>
  </si>
  <si>
    <t>MARGARITA KIMIE ONAKA DE UCHIYAMA</t>
  </si>
  <si>
    <t>18471-056-131016</t>
  </si>
  <si>
    <t xml:space="preserve">GAS PERU GUADALUPE S.A.C. </t>
  </si>
  <si>
    <t>PANAMERICANA SUR KM. 295 - GUADALUPE</t>
  </si>
  <si>
    <t>C1:9000:SIN PRODUCTO </t>
  </si>
  <si>
    <t>61026-056-211113</t>
  </si>
  <si>
    <t>INVERSIONES NOBAL S.A.C.</t>
  </si>
  <si>
    <t>AUTOPISTA MANUEL DEL VALLE MZ.Z, SUB LT.B-1, URB. LOS HUERTOS DE LURIN</t>
  </si>
  <si>
    <t>C1:3262:GASOHOL 98 PLUS </t>
  </si>
  <si>
    <t>C1:3262:GASOHOL 90 PLUS </t>
  </si>
  <si>
    <t>C1:3262:GASOHOL 95 PLUS </t>
  </si>
  <si>
    <t>C1:6802:Diesel B5 S-50 </t>
  </si>
  <si>
    <t>SANDRA PATRICIA PEREYRA PAREDES</t>
  </si>
  <si>
    <t>39578-056-210716</t>
  </si>
  <si>
    <t>AV. FERMIN TANGUIS Nº 200 - 220</t>
  </si>
  <si>
    <t>C1:4078:GASOHOL 84 PLUS C2:4078:GASOHOL 95 PLUS </t>
  </si>
  <si>
    <t>C1:8176:GASOHOL 90 PLUS </t>
  </si>
  <si>
    <t>C1:8176:Diesel B5 S-50 </t>
  </si>
  <si>
    <t>CESAR CRUCES LIBERT</t>
  </si>
  <si>
    <t>7135-056-230417</t>
  </si>
  <si>
    <t>AV. DEL RIO Nº 110</t>
  </si>
  <si>
    <t>PUEBLO LIBRE</t>
  </si>
  <si>
    <t>C1:4000:GASOHOL 84 PLUS C2:4000:GASOHOL 97 PLUS </t>
  </si>
  <si>
    <t>ALFREDO MARTIN GAVIDIA ALVAREZ</t>
  </si>
  <si>
    <t>149283-056-040820</t>
  </si>
  <si>
    <t>CARRETERA PANAMERICANA SUR KM. 127 - PAMPA LOS LOBOS</t>
  </si>
  <si>
    <t>CERRO AZUL</t>
  </si>
  <si>
    <t>9423-056-230118</t>
  </si>
  <si>
    <t>AV. MARISCAL CASTILLA N° 905</t>
  </si>
  <si>
    <t>21366-056-010920</t>
  </si>
  <si>
    <t>ESTACION DE SERVICIOS LASER - PANY E.I.R.L.</t>
  </si>
  <si>
    <t>ESQ. AV. SIETE N° 180, ESQ. CON CALLE ROSEDAL - SECTOR EL ROSEDAL</t>
  </si>
  <si>
    <t>KARINA LILIANA MUÑOZ PEÑA</t>
  </si>
  <si>
    <t>39862-056-080919</t>
  </si>
  <si>
    <t>AV. TUPAC AMARU 1699 - ALTO MOCHICA</t>
  </si>
  <si>
    <t>C1:2800:Diesel B5 S-50 </t>
  </si>
  <si>
    <t>7143-056-031016</t>
  </si>
  <si>
    <t>GRIFOS KAMT S.A.C.</t>
  </si>
  <si>
    <t>CARRETERA PANAMERICANA NORTE KM. 782 MOCCE</t>
  </si>
  <si>
    <t>C1:3000:Diesel B5 S-50,GASOHOL 90 PLUS </t>
  </si>
  <si>
    <t>MARIA ELENA BETZABE ELIAS PAREDES</t>
  </si>
  <si>
    <t>9329-056-160419</t>
  </si>
  <si>
    <t>SERVICENTRO LA ALAMEDA S.A.C.</t>
  </si>
  <si>
    <t>AV. ALAMEDA SUR ESQUINA CON CALLE LOS KEROS MZ. Q LOTE 11, URB. SAN JUAN BAUTISTA DE VILLA</t>
  </si>
  <si>
    <t>C1:8098:Diesel B5 S-50 </t>
  </si>
  <si>
    <t>C1:2634:GASOHOL 97 PLUS </t>
  </si>
  <si>
    <t>C1:2634:GASOHOL 95 PLUS </t>
  </si>
  <si>
    <t>C1:2634:Diesel B5 S-50 </t>
  </si>
  <si>
    <t>JAVIER VILCA USSEGLIO</t>
  </si>
  <si>
    <t>6821-056-130519</t>
  </si>
  <si>
    <t>SERVICIOS RIGAL S.A.C.</t>
  </si>
  <si>
    <t>AV. PASEO DE LA REPUBLICA N° 4251</t>
  </si>
  <si>
    <t>JOSÉ ANTONIO TINEO JUSTO</t>
  </si>
  <si>
    <t>17849-056-190517</t>
  </si>
  <si>
    <t>MULTISERVICIOS JAEN E.I.R.L.</t>
  </si>
  <si>
    <t>CARRETERA CHAMAYA JAEN KM. 11+640 SECTOR FILA ALTA</t>
  </si>
  <si>
    <t>C1:4500:Diesel B5 S-50,GASOHOL 84 PLUS </t>
  </si>
  <si>
    <t>SEGUNDO QUITERIO HERNANDEZ VASQUEZ</t>
  </si>
  <si>
    <t>148026-056-080620</t>
  </si>
  <si>
    <t>MAXIPETRO SAN BENITO S.A.</t>
  </si>
  <si>
    <t>MZ. F LOTE 02 - ZONA INDUSTRIAL II COMPLEMENTARIA</t>
  </si>
  <si>
    <t>CAVERO PORTILLA HAROLD OSWALDO</t>
  </si>
  <si>
    <t>8345-056-190612</t>
  </si>
  <si>
    <t>ESTACION DE SERVICOS VICTORIA'S S.R.L.</t>
  </si>
  <si>
    <t>AV. JUAN SANTOS ATAHUALPA N° 1326 (ANTES CARRETERA CENTRAL KM. 93.5 )</t>
  </si>
  <si>
    <t>C1:7863:DIESEL B5 </t>
  </si>
  <si>
    <t>C1:5000:GASOHOL 84 PLUS C2:2863:GASOHOL 90 PLUS </t>
  </si>
  <si>
    <t>C1:6000:DIESEL B5 C2:1850:GASOHOL 97 PLUS </t>
  </si>
  <si>
    <t>16757-056-270319</t>
  </si>
  <si>
    <t>AV. JOSE GABRIEL CONDORCANQUI N° 2492</t>
  </si>
  <si>
    <t>C1:4200:GASOHOL 90 PLUS </t>
  </si>
  <si>
    <t>42317-056-261016</t>
  </si>
  <si>
    <t>GRIFOS MONTERREY S.R.L.</t>
  </si>
  <si>
    <t>CARRETERA PATIVILCA - HUARAZ KM 194+200 SECTOR CHIHUIPAMPA</t>
  </si>
  <si>
    <t>C1:3082:GASOHOL 97 PLUS C2:3070:GASOHOL 84 PLUS </t>
  </si>
  <si>
    <t>C1:3040:GASOHOL 90 PLUS C2:3018:GASOHOL 95 PLUS </t>
  </si>
  <si>
    <t>C1:4060:DIESEL B5,Diesel B5 S-50 </t>
  </si>
  <si>
    <t>C1:6035:DIESEL B5,Diesel B5 S-50 </t>
  </si>
  <si>
    <t>OMAR SANTORO GRANADOS VEGA</t>
  </si>
  <si>
    <t>135731-056-110419</t>
  </si>
  <si>
    <t>ESTACION CELESTE S.A.C.</t>
  </si>
  <si>
    <t>AV. X-5 MZ. G-1 LOTES 5, 6 Y 7 (ANTIGUA PANAMERICANA SUR)</t>
  </si>
  <si>
    <t xml:space="preserve">GIORGIO ROLLIN ASTE VALERA </t>
  </si>
  <si>
    <t>43650-056-161117</t>
  </si>
  <si>
    <t>ESTACION DE SERVICIOS Y GASOCENTRO LAS PALMERAS S.R.L.</t>
  </si>
  <si>
    <t>CARRETERA CENTRAL LIMA - HUANUCO KM. 386.5 - CENTRO POBLADO MENOR DE AYANCOCHA</t>
  </si>
  <si>
    <t>C1:1000:GASOHOL 90 PLUS C2:1500:GASOHOL 90 PLUS </t>
  </si>
  <si>
    <t>0008-EGLP-11-2008</t>
  </si>
  <si>
    <t>ESTACION DE SERVICIOS MONTE EVERST S.A.C</t>
  </si>
  <si>
    <t xml:space="preserve">CARRETERA PANAMERICANA SUR KM 201.30 </t>
  </si>
  <si>
    <t>CHINCHA BAJA</t>
  </si>
  <si>
    <t>C1:5300:DIESEL 2 </t>
  </si>
  <si>
    <t>C1:6200:GASOLINA 84 </t>
  </si>
  <si>
    <t>C1:6200:GASOLINA 90 </t>
  </si>
  <si>
    <t>C1:3080:GASOLINA 95 </t>
  </si>
  <si>
    <t>1520:GAS LICUADO DE PETROLEO </t>
  </si>
  <si>
    <t>RUIZ ALVARO DE VALENZUELA, MARIA TERESA</t>
  </si>
  <si>
    <t>31655-056-190718</t>
  </si>
  <si>
    <t>INVERSIONES Y REPRESENTACIONES EGAR S.A.C.</t>
  </si>
  <si>
    <t>PARCELA 42 EX FUNDO HUERTO ESQUIVEL (AV. CHANCAY KM. 8)</t>
  </si>
  <si>
    <t>1400:GAS LICUADO DE PETROLEO </t>
  </si>
  <si>
    <t>ORLANDO QUISPE ALEGRIA</t>
  </si>
  <si>
    <t>18872-056-121218</t>
  </si>
  <si>
    <t>AV. COLONIAL N° 140, 160, 164, 178, ESQUINA CON JR. HUAROCHIRI N° 591</t>
  </si>
  <si>
    <t>8297-056-280817</t>
  </si>
  <si>
    <t>JR. GUILLERMO E. SISLEY REATEGUI CUADRA 6</t>
  </si>
  <si>
    <t>ANITA PATRICIA FALCON RAMIREZ</t>
  </si>
  <si>
    <t>88826-056-191020</t>
  </si>
  <si>
    <t>VERA HERMANOS S.R.L.</t>
  </si>
  <si>
    <t>LT 9C-1, PAMPA DE ÑOCO KM. 2 CARRETERA LARAN</t>
  </si>
  <si>
    <t>C1:1792:GASOHOL 95 PLUS </t>
  </si>
  <si>
    <t>C1:1304:GASOHOL 84 PLUS </t>
  </si>
  <si>
    <t>C1:1304:GASOHOL 90 PLUS </t>
  </si>
  <si>
    <t>ALEJANDRO ANASTACIO VERA NUÑEZ</t>
  </si>
  <si>
    <t>9554-056-040920</t>
  </si>
  <si>
    <t>RRR CONTRATISTAS GENERALES S.A.C.</t>
  </si>
  <si>
    <t>AV. ATAHUALPA N° 554</t>
  </si>
  <si>
    <t>C1:2500:GASOHOL 98 PLUS C2:2500:GASOHOL 90 PLUS </t>
  </si>
  <si>
    <t xml:space="preserve">ROBERTO KRISTOPHER ROJAS RODRIGUEZ </t>
  </si>
  <si>
    <t>7018-056-011217</t>
  </si>
  <si>
    <t>GRIFO SUR AREQUIPA E.I.R.L.</t>
  </si>
  <si>
    <t>AV. JESUS Nº 302</t>
  </si>
  <si>
    <t>VICTOR RAUL FERNANDO CORNEJO BAZAN</t>
  </si>
  <si>
    <t>116464-056-131016</t>
  </si>
  <si>
    <t>AV. PROLONGACIÓN MANUEL SANTANA CHIRI S/N</t>
  </si>
  <si>
    <t>114150-056-201219</t>
  </si>
  <si>
    <t>GRUPO BALLENA S.A.C.</t>
  </si>
  <si>
    <t>MZ. U2 LOTE 05 PUEBLO JOVEN MIRAFLORES ALTO (ESQUINA AV. ENRIQUE MEIGGS CON JR. LAS PALMERAS)</t>
  </si>
  <si>
    <t>20129-056-010218</t>
  </si>
  <si>
    <t>ESQ. AV. RAUL FERRERO CON AV. ALAMEDA DEL CORREGIDOR</t>
  </si>
  <si>
    <t>60870-056-030318</t>
  </si>
  <si>
    <t>ESTACION DE SERVICIO SAN ROQUE S.A.C.</t>
  </si>
  <si>
    <t>CARRETERA PANAMERICANA NORTE KM 780 - SECTOR OESTE</t>
  </si>
  <si>
    <t>C1:4547:DIESEL B5,Diesel B5 S-50 </t>
  </si>
  <si>
    <t>C1:4547:GASOHOL 90 PLUS </t>
  </si>
  <si>
    <t>3950:GAS LICUADO DE PETROLEO </t>
  </si>
  <si>
    <t>128100-056-150920</t>
  </si>
  <si>
    <t>GRUPO SANTA CATALINA S.A.C</t>
  </si>
  <si>
    <t xml:space="preserve">AV. LIMA N° 214 - AUCAYACU </t>
  </si>
  <si>
    <t>C1:4000:Diesel B5 S-50 C2:2000:GASOHOL 84 PLUS C3:2000:GASOHOL 95 PLUS </t>
  </si>
  <si>
    <t>CLARA LUISA CONTRERAS ARRIETA</t>
  </si>
  <si>
    <t>129526-056-240118</t>
  </si>
  <si>
    <t>EE/SS MARCAVELICA S.A.C.</t>
  </si>
  <si>
    <t>AV. RAMON CASTILLA S/N.</t>
  </si>
  <si>
    <t>C1:2000:DIESEL B5,Diesel B5 S-50 </t>
  </si>
  <si>
    <t>104389-056-100918</t>
  </si>
  <si>
    <t>CARRETERA PANAMERICANA NORTE PREDIO EL TANQUE LOTE A SECTOR EL TANQUE</t>
  </si>
  <si>
    <t>C1:1000:GASOHOL 97 PLUS </t>
  </si>
  <si>
    <t>111916-056-110118</t>
  </si>
  <si>
    <t>CUEVA TAVERA S.A.C.</t>
  </si>
  <si>
    <t xml:space="preserve">PREDIO RUSTICO LA VICTORIA U.C.10570 </t>
  </si>
  <si>
    <t>CHAO</t>
  </si>
  <si>
    <t>C1:6274:Diesel B5 S-50 </t>
  </si>
  <si>
    <t>C1:2056:GASOHOL 95 PLUS </t>
  </si>
  <si>
    <t>C1:1165:GASOHOL 97 PLUS </t>
  </si>
  <si>
    <t>C1:2056:GASOHOL 90 PLUS </t>
  </si>
  <si>
    <t>EMMEL ALBERTO CUEVA RODRIGUEZ</t>
  </si>
  <si>
    <t>96869-056-020712</t>
  </si>
  <si>
    <t xml:space="preserve">GRIFOSA S.A.C. </t>
  </si>
  <si>
    <t>CARRETERA PANAMERICANA SUR KM. 86.5</t>
  </si>
  <si>
    <t>MALA</t>
  </si>
  <si>
    <t>140915-056-120919</t>
  </si>
  <si>
    <t>ESTACION DE SERVICIOS EL REPOSO S.A.C.</t>
  </si>
  <si>
    <t xml:space="preserve">AREA DE RESERVA GRLL-5, SECTOR EL MILAGRO ETAPA III VALLE MOCHE (CON FRENTE A LA CARRETERA PANAMERICANA NORTE MARGEN IZQUIERDO A APROX. 300 M. DEL CO </t>
  </si>
  <si>
    <t>MARIA ALICIA SAAVEDRA MOSTACERO</t>
  </si>
  <si>
    <t>18867-056-310718</t>
  </si>
  <si>
    <t>CARRETERA PANAMERICANA NORTE KM. 77.5, FUNDO LAS SALINAS</t>
  </si>
  <si>
    <t>8224-056-210918</t>
  </si>
  <si>
    <t>ESQ. AV. ZORRITOS Y AV. TINGO MARIA</t>
  </si>
  <si>
    <t>BREÑA</t>
  </si>
  <si>
    <t>ALBERTO ABEL REJAS CLEMENTE</t>
  </si>
  <si>
    <t>44703-056-2010</t>
  </si>
  <si>
    <t>ESTACION DE SERVICIOS LA PUNTA E.I.R.L.</t>
  </si>
  <si>
    <t>JR. LA PUNTA MZ. 3-T LOTE 23, ESQ. CON AV. LA MOLINA, URB. EL SOL DE LA MOLINA</t>
  </si>
  <si>
    <t>C1:4971:Diesel B2 S-50 </t>
  </si>
  <si>
    <t>C1:4978:GASOLINA 90 </t>
  </si>
  <si>
    <t>C1:2602:GASOLINA 95 C2:2607:GASOLINA 84 </t>
  </si>
  <si>
    <t>C1:4983:GASOLINA 98 BA </t>
  </si>
  <si>
    <t>FREDDY RONALD MENDEZ CASTRO</t>
  </si>
  <si>
    <t>126987-056-040718</t>
  </si>
  <si>
    <t>AKP TACNA S.A.C.</t>
  </si>
  <si>
    <t xml:space="preserve">CALLE LAS VIOLETAS: SUB LOTE 10-C, SECTOR VIÑANI </t>
  </si>
  <si>
    <t>MIGUEL VELASQUEZ MARON</t>
  </si>
  <si>
    <t>45330-056-280319</t>
  </si>
  <si>
    <t>AA.HH. VILLA LAS PALMAS - MZ. L LOTES 8, 9, 10, 11 Y 12</t>
  </si>
  <si>
    <t>C1:2000:GASOHOL 90 PLUS C2:2000:SIN PRODUCTO </t>
  </si>
  <si>
    <t>92165-056-040820</t>
  </si>
  <si>
    <t>TRANSFUELS LIPER E.I.R.L.</t>
  </si>
  <si>
    <t>AV. SAN MARTIN Nº 157, 163, 165 Y 169</t>
  </si>
  <si>
    <t>C1:2000:GASOHOL 97 PLUS C2:2000:GASOHOL 95 PLUS </t>
  </si>
  <si>
    <t>40659-056-140317</t>
  </si>
  <si>
    <t>INVERSIONES TITAN S.R.L.</t>
  </si>
  <si>
    <t>ESQ. AV. 13 DE NOVIEMBRENº 586 Y JR. AREQUIPA</t>
  </si>
  <si>
    <t>CIRO LUIS LAZO MEZA</t>
  </si>
  <si>
    <t>21037-056-110219</t>
  </si>
  <si>
    <t>COMERCIALIZADORA Y SERVICIOS DON MARCOS S.A.C.</t>
  </si>
  <si>
    <t>VARIANTE AUTOPISTA HUARAL - LIMA KM. 09 SECTOR CARLINI</t>
  </si>
  <si>
    <t>SONIA OLIVIT ALARCON LLANTAS</t>
  </si>
  <si>
    <t>19868-056-040820</t>
  </si>
  <si>
    <t>EMPRESA DE LUBRICANTES Y SERVICIOS MARGINAL E.I.R.L.</t>
  </si>
  <si>
    <t>CARRETERA OLMOS CORRAL QUEMADO CASERIO CUYCA</t>
  </si>
  <si>
    <t>CUTERVO</t>
  </si>
  <si>
    <t>CHOROS</t>
  </si>
  <si>
    <t xml:space="preserve">SEGUNDO QUITERIO HERNANDEZ VASQUEZ </t>
  </si>
  <si>
    <t>41777-056-080917</t>
  </si>
  <si>
    <t>GRIFO &amp; GASOCENTRO TOCACHE S.A.C.</t>
  </si>
  <si>
    <t xml:space="preserve">JIRON BOLOGÑESI CDRA 1 </t>
  </si>
  <si>
    <t>C1:10000:SIN PRODUCTO </t>
  </si>
  <si>
    <t>ENITH SHUPINGAHUA GOMEZ</t>
  </si>
  <si>
    <t>7661-056-100419</t>
  </si>
  <si>
    <t>AV. JUAN TOMIS STACK N° 1045</t>
  </si>
  <si>
    <t>45240-056-150519</t>
  </si>
  <si>
    <t>AV. UNIVERSITARIA ESQUINA CON LA AV. NARANJAL, MANZANA A, LOTES 1, 2, 3, 4, 5, 23, 24, 25 Y 26 DEL A. H. 19 DE MAYO</t>
  </si>
  <si>
    <t>C1:8900:Diesel B5 S-50 </t>
  </si>
  <si>
    <t>C1:2050:GASOHOL 97 PLUS </t>
  </si>
  <si>
    <t>C1:2050:GASOHOL 95 PLUS </t>
  </si>
  <si>
    <t>C1:1600:GASOHOL 95 PLUS </t>
  </si>
  <si>
    <t>84657-056-110719</t>
  </si>
  <si>
    <t>CARRETERA PANAMERICANA SUR - VIA EVITAMIENTO 122 (PANAMERICANA NORTE KM 658)</t>
  </si>
  <si>
    <t>SAN PEDRO DE LLOC</t>
  </si>
  <si>
    <t>C1:2500:GASOHOL 84 PLUS C2:2500:GASOHOL 90 PLUS C3:1000:GASOHOL 95 PLUS </t>
  </si>
  <si>
    <t>7320-056-100417</t>
  </si>
  <si>
    <t>ESTACION DE SERVICIOS EL TRIANGULO S.A.C.</t>
  </si>
  <si>
    <t>AV. GRAN CHIMU N° 1988 URB. ZARATE</t>
  </si>
  <si>
    <t>C1:2000:GASOHOL 95 PLUS C2:2000:GASOHOL 95 PLUS C3:2000:GASOHOL 98 PLUS </t>
  </si>
  <si>
    <t>ROXANA MELENDEZ ALVARADO</t>
  </si>
  <si>
    <t>91213-056-230520</t>
  </si>
  <si>
    <t>GE INVERSIONES E.I.R.L.</t>
  </si>
  <si>
    <t>CALLE 7 MZ. E-2 LOTE 1 ESQUINA CON CALLE 11 - PARQUE INDUSTRIAL</t>
  </si>
  <si>
    <t xml:space="preserve">ENRIQUEZ TORRES GINO EDUARDO </t>
  </si>
  <si>
    <t>42453-056-230812</t>
  </si>
  <si>
    <t>ESTACION DE SERVICIOS RIMEER E.I.R.L.</t>
  </si>
  <si>
    <t>AV. CENTENARIO S/N - BARRIO SAN LORENZO</t>
  </si>
  <si>
    <t>C1:4000:GASOHOL 84 PLUS C2:2000:GASOHOL 90 PLUS C3:1000:GASOHOL 95 PLUS C4:1000:GASOHOL 97 PLUS </t>
  </si>
  <si>
    <t>C1:6500:Diesel B5 S-50 C2:1500:Diesel B5 S-50 </t>
  </si>
  <si>
    <t>RICHARD NILTON OBISPO VENTOCILLA</t>
  </si>
  <si>
    <t>114077-056-200916</t>
  </si>
  <si>
    <t>SUPER GRIFO CHINCHA SAC</t>
  </si>
  <si>
    <t>CARRETERA PANAMERICANA SUR N° 764</t>
  </si>
  <si>
    <t>C1:7000:DIESEL B5,Diesel B5 S-50 C2:3000:GASOHOL 97 PLUS </t>
  </si>
  <si>
    <t>C1:3000:GASOHOL 84 PLUS C2:4000:GASOHOL 90 PLUS C3:3000:GASOHOL 95 PLUS </t>
  </si>
  <si>
    <t>36824-056-180520</t>
  </si>
  <si>
    <t>ESTACION DE SERVICIOS VICE S.A.C.</t>
  </si>
  <si>
    <t>MZ. A LOTE 03, AV. PROLONGACIÓN MIGUEL F. CERRO KM. 1.5 CARRETERA VICE - SECHURA</t>
  </si>
  <si>
    <t>VICE</t>
  </si>
  <si>
    <t>C1:1900:Diesel B5 S-50 </t>
  </si>
  <si>
    <t>C1:5100:Diesel B5 S-50 </t>
  </si>
  <si>
    <t>C1:5340:GASOHOL 90 PLUS </t>
  </si>
  <si>
    <t>C1:10300:Diesel B5 S-50 </t>
  </si>
  <si>
    <t>GOICOCHEA MECHATO WILLIAM DAVID</t>
  </si>
  <si>
    <t>147134-056-181019</t>
  </si>
  <si>
    <t>ESTACION DE SERVICIOS EL SOL DE CAMANA S.A.C.</t>
  </si>
  <si>
    <t>AV LIMA Nº 607</t>
  </si>
  <si>
    <t>7368-056-160518</t>
  </si>
  <si>
    <t>CESAR RAMOS MORENO E.I.R.L.</t>
  </si>
  <si>
    <t>AV. EL MAESTRO N° 1061 URBANIZACION VILLARICA</t>
  </si>
  <si>
    <t>C1:2500:Diesel B5 S-50 C2:2000:GASOHOL 95 PLUS C3:2000:GASOHOL 98 PLUS </t>
  </si>
  <si>
    <t>CESAR AUGUSTO RAMOS MORENO</t>
  </si>
  <si>
    <t>103321-056-290419</t>
  </si>
  <si>
    <t>ESTACION DE SERVICIOS SAMOA S.A.C.</t>
  </si>
  <si>
    <t>LOTIZACION INDUSTRIAL LOS PINOS ZONA 01 MZ. A LOTES 1 Y 12</t>
  </si>
  <si>
    <t>C1:2000:GASOHOL 90 PLUS C2:2000:GASOHOL 98 PLUS </t>
  </si>
  <si>
    <t>MARIO FRANCISCO GRANDA COIANTI</t>
  </si>
  <si>
    <t>139330-056-011118</t>
  </si>
  <si>
    <t>INVERSIONES RAMOS N&amp;A S.A.C.</t>
  </si>
  <si>
    <t>SECTOR A-8 CHEN CHEN, MZ G, LT. 1,2,11 Y 12</t>
  </si>
  <si>
    <t>C1:5268:Diesel B5 S-50 </t>
  </si>
  <si>
    <t>C1:2195:GASOHOL 84 PLUS C2:3073:GASOHOL 95 PLUS </t>
  </si>
  <si>
    <t>C1:4061:GASOHOL 90 PLUS </t>
  </si>
  <si>
    <t>JESÚS RAMOS MAMANI</t>
  </si>
  <si>
    <t>115245-056-301219</t>
  </si>
  <si>
    <t>SAN PEDRO COMBUSTIBLES S.R.L.</t>
  </si>
  <si>
    <t xml:space="preserve">CALLE LIMA SUR N° 1529 (EX CARRETERA CENTRAL) PARTE DEL LOTE 43 DEL FUNDO MOYOPAMPA </t>
  </si>
  <si>
    <t>C1:5470:Diesel B5 S-50 </t>
  </si>
  <si>
    <t>C1:1500:GASOHOL 90 PLUS C2:1500:GASOHOL 97 PLUS C3:1500:GASOHOL 95 PLUS C4:1500:GASOHOL 90 PLUS </t>
  </si>
  <si>
    <t>ROMULO ANIBAL SALVADOR PALACIOS</t>
  </si>
  <si>
    <t>19848-056-040419</t>
  </si>
  <si>
    <t>HERKA SOLUCIONES E.I.R.L.</t>
  </si>
  <si>
    <t>AV. LAMBRAMANI N° 201</t>
  </si>
  <si>
    <t>C1:4000:Diesel B5 S-50 C2:2000:GASOHOL 97 PLUS </t>
  </si>
  <si>
    <t>DELIA RAYMUNDA HUACHANI CONDORI</t>
  </si>
  <si>
    <t>148481-056-270120</t>
  </si>
  <si>
    <t>ESTACION DE SERVICIOS BATMAN E.I.R.L.</t>
  </si>
  <si>
    <t xml:space="preserve">AV. LAS TORRES LOTE 13A ASOCIACION DIGNIDAD NACIONAL </t>
  </si>
  <si>
    <t>C1:5330:Diesel B5 S-50 </t>
  </si>
  <si>
    <t>C1:4084:GASOHOL 90 PLUS C2:2590:GASOHOL 95 PLUS C3:2453:GASOHOL 97 PLUS </t>
  </si>
  <si>
    <t>MASIAS MARCIANO JANAMPA CAJAMARCA</t>
  </si>
  <si>
    <t>9542-056-090720</t>
  </si>
  <si>
    <t>ESTACIÓN DE SERVICIOS LA MARINA S.A.C.</t>
  </si>
  <si>
    <t>AV. LA MARINA N° 405-407 ESQ. CON CALLE ALEJANDRO MAGNO, URB. BENJAMIN DOIG LOSSIO</t>
  </si>
  <si>
    <t>JORGE ANDRES OSHIRO YAGI</t>
  </si>
  <si>
    <t>137661-056-300718</t>
  </si>
  <si>
    <t>ESTACION DE SERVICIOS LEONOR S.A.C</t>
  </si>
  <si>
    <t>PARCELA N° 36, V.C. 04621, SECTOR LOS TRONQUITOS</t>
  </si>
  <si>
    <t>6801-056-080212</t>
  </si>
  <si>
    <t>GRUPO ARIAS S.A.C.</t>
  </si>
  <si>
    <t>AV NICOLAS AYLLON N° 1202 Y ESQ AV LAS MAGNOLIAS (CARRETERA CENTRAL KM 25)</t>
  </si>
  <si>
    <t>C1:3999:GASOHOL 98 PLUS </t>
  </si>
  <si>
    <t>C1:3999:GASOHOL 95 PLUS </t>
  </si>
  <si>
    <t>GUIDO JAIME ARIAS VICUÑA</t>
  </si>
  <si>
    <t>18498-056-230216</t>
  </si>
  <si>
    <t>AV. SAN MARTIN CRUCE CON AV. SIMON BOLIVAR</t>
  </si>
  <si>
    <t>SANTA EULALIA</t>
  </si>
  <si>
    <t>107226-056-140816</t>
  </si>
  <si>
    <t>ESQUINA AV. AMERICA OESTE CON CALLE 22 MZ. Z - LOTES 5, 6, 7 Y 8 URB. NATASHA ALTA</t>
  </si>
  <si>
    <t>C1:1500:GASOHOL 84 PLUS C2:3000:GASOHOL 90 PLUS C3:1500:GASOHOL 95 PLUS </t>
  </si>
  <si>
    <t>85453-056-140816</t>
  </si>
  <si>
    <t>GRIFOS ESTRELLA DE DAVID E.I.R.L</t>
  </si>
  <si>
    <t>MZ.W-3, LOTE 01, INTERSECCION DE LA AV.AMERICA OESTE Y AV. ANTENOR ORREGO URB. EL CORTIJO</t>
  </si>
  <si>
    <t>C1:1250:GASOHOL 95 PLUS C2:1250:GASOHOL 90 PLUS C3:2750:GASOHOL 84 PLUS </t>
  </si>
  <si>
    <t>4260:GAS LICUADO DE PETROLEO </t>
  </si>
  <si>
    <t>126071-056-050217</t>
  </si>
  <si>
    <t>AV. JUAN PABLO II MZ. L LT. 08 Y 09 - URB. SAN ANDRES 5TA ETAPA</t>
  </si>
  <si>
    <t>7418-056-090920</t>
  </si>
  <si>
    <t>MEDARDO NOLBERTO ARIAS CALLUPE</t>
  </si>
  <si>
    <t>JR. HUALLAYCO N° 2200</t>
  </si>
  <si>
    <t>C1:2650:SIN PRODUCTO </t>
  </si>
  <si>
    <t>149601-056-290520</t>
  </si>
  <si>
    <t>CHUQUILLANQUI ALIAGA ISRAEL</t>
  </si>
  <si>
    <t>AV. LOS INCAS N°189</t>
  </si>
  <si>
    <t>C1:7000:GASOHOL 90 PLUS C2:3000:GASOHOL 95 PLUS </t>
  </si>
  <si>
    <t>8225-056-060917</t>
  </si>
  <si>
    <t>AV. NICOLAS AYLLON N° 7174, URB. PARCELACIÓN LA ESTRELLA</t>
  </si>
  <si>
    <t>118693-056-280818</t>
  </si>
  <si>
    <t>NEGOCIACIONES &amp; COMBUSTIBLES OSBERAL S.A.C.</t>
  </si>
  <si>
    <t xml:space="preserve">MZ. A LOTE 1, URB. LOS TULIPANES </t>
  </si>
  <si>
    <t>C1:1170:GASOHOL 90 PLUS C2:1170:GASOHOL 95 PLUS C3:1170:GASOHOL 98 PLUS </t>
  </si>
  <si>
    <t>2200:GAS LICUADO DE PETROLEO </t>
  </si>
  <si>
    <t>ROLANDO WALTER ARRIETA BERNABE</t>
  </si>
  <si>
    <t>96564-056-291119</t>
  </si>
  <si>
    <t>ELSA MARIA SAMANIEGO GALVEZ</t>
  </si>
  <si>
    <t>AV. FERNANDO BELAUNDE TERRY, MZ A, LOTE 8 – C.P. PASEO LAS ARTES</t>
  </si>
  <si>
    <t>CONSTITUCION</t>
  </si>
  <si>
    <t>C1:3000:Diesel B5 S-50 C2:1000:GASOHOL 95 PLUS </t>
  </si>
  <si>
    <t>C1:5000:Diesel B5 S-50 C2:4000:GASOHOL 90 PLUS </t>
  </si>
  <si>
    <t>19855-056-070518</t>
  </si>
  <si>
    <t>ESTACION DE SERVICIO SAN JOSE ESPINAR CUZCO S.R.L.</t>
  </si>
  <si>
    <t>CALLE PIZARRO LOTE N° 11, MZ. C, ESQ. CALLE 04 COOP. DE VIVIENDA PORONGOCHE N° 19</t>
  </si>
  <si>
    <t>15236-056-070617</t>
  </si>
  <si>
    <t>CARRETERA PANAMERICANA NORTE KM. 556</t>
  </si>
  <si>
    <t>C1:2000:DIESEL B5,Diesel B5 S-50 C2:3000:GASOHOL 95 PLUS C3:3000:GASOHOL 90 PLUS </t>
  </si>
  <si>
    <t>ANTENOR RAFAEL AYSANOA PASCO</t>
  </si>
  <si>
    <t>9337-056-240117</t>
  </si>
  <si>
    <t>MULTISERVICIOS CHICLAYO S.R.L.</t>
  </si>
  <si>
    <t>AV. BOLOGNESI N° 690</t>
  </si>
  <si>
    <t>LIDIA SUSANA NEIRA DE CORONEL</t>
  </si>
  <si>
    <t>34179-056-090920</t>
  </si>
  <si>
    <t>INVERSIONES MICE S.A.C.</t>
  </si>
  <si>
    <t>AV. MARIA REYCHE Y SEPARADORA INDUSTRIAL IV ETAPA, URB. PACHACAMAC</t>
  </si>
  <si>
    <t>JUAN JOSE PANDURO CALDAS</t>
  </si>
  <si>
    <t>125092-056-070918</t>
  </si>
  <si>
    <t>ESTACION DE SERVICIOS SURI S.R.L.</t>
  </si>
  <si>
    <t>AV.ORIENTE S/N</t>
  </si>
  <si>
    <t>C1:3000:GASOHOL 84 PLUS C2:3000:GASOHOL 90 PLUS C3:2000:GASOHOL 95 PLUS </t>
  </si>
  <si>
    <t>MARCO ANTONIO SURICHAQUI RODRIGUEZ</t>
  </si>
  <si>
    <t>139517-056-081118</t>
  </si>
  <si>
    <t>AUTOSERVICIOS P &amp; B S.A.C.</t>
  </si>
  <si>
    <t xml:space="preserve">SUB LOTE B ENTRE LOS KMS 299.558 AL 299.83 - CARRETERA PANAMERICANA SUR </t>
  </si>
  <si>
    <t>C1:2000:GASOHOL 84 PLUS C2:2000:GASOHOL 98 PLUS </t>
  </si>
  <si>
    <t>POSADAS BENAVIDES JORGE FELIX</t>
  </si>
  <si>
    <t>33177-056-271119</t>
  </si>
  <si>
    <t>ESQUINA AV. CIRCUNVALACION NORTE Y PROLONGACION MARISCAL CASTILLA MZ B LTS. 9, 10, 11 Y 12 HUARAL / HUARAL / LIMA</t>
  </si>
  <si>
    <t>C1:4000:Diesel B5 S-50 C2:2000:Diesel B5 S-50 </t>
  </si>
  <si>
    <t>108541-056-230720</t>
  </si>
  <si>
    <t>PERCY JOEL PALACIOS GAMARRA</t>
  </si>
  <si>
    <t xml:space="preserve">AV. MIGUEL GRAU S/N, ESQUINA CON LA AV. JUAN SANTOS ATAHUALPA </t>
  </si>
  <si>
    <t>C1:7968:Diesel B5 S-50 </t>
  </si>
  <si>
    <t>C1:4028:GASOHOL 90 PLUS C2:2524:GASOHOL 90 PLUS C3:1580:GASOHOL 95 PLUS </t>
  </si>
  <si>
    <t>150681-056-250820</t>
  </si>
  <si>
    <t>CORPORACION JUDY S.A.C.</t>
  </si>
  <si>
    <t>AV. CANTA CALLAO, PARCELA Nº 59, U. C. Nº 10668, EX COOPERATIVA DE PRODUCCIÓN VIRGEN DEL ROSARIO, LTDA. Nº 77</t>
  </si>
  <si>
    <t>WILLIAM ARTURO HUERTA ALFARO</t>
  </si>
  <si>
    <t>38730-056-241219</t>
  </si>
  <si>
    <t>GRIFO LOS GIRASOLES S.R.L.</t>
  </si>
  <si>
    <t>CARRETERA CHICLAYO - CHONGOYAPE KM.22.5 SECTOR III PAMPA EL TORO</t>
  </si>
  <si>
    <t>TUMAN</t>
  </si>
  <si>
    <t>C1:2240:GASOHOL 84 PLUS </t>
  </si>
  <si>
    <t>C1:1295:GASOHOL 90 PLUS </t>
  </si>
  <si>
    <t>C1:1080:GASOHOL 95 PLUS </t>
  </si>
  <si>
    <t>SEGUNDO SALATIEL FERNANDEZ VASQUEZ</t>
  </si>
  <si>
    <t>16758-056-051217</t>
  </si>
  <si>
    <t>AV. MANUEL VERA ENRIQUEZ N° 326 ESQUINA CON CALLE CIRO ALEGRIA URB. LAS QUINTANAS</t>
  </si>
  <si>
    <t>7571-056-250419</t>
  </si>
  <si>
    <t>ESTACION DE SERVICIOS BENETON S.A.</t>
  </si>
  <si>
    <t>URB.LAS BEGONIAS MZ E LOTE N° 14 CON FRENTE A LA AV. ANDRES AVELINO CACERES</t>
  </si>
  <si>
    <t>C1:2996:GASOHOL 90 PLUS </t>
  </si>
  <si>
    <t>C1:1998:GASOHOL 97 PLUS </t>
  </si>
  <si>
    <t>C1:3800:GASOHOL 95 PLUS </t>
  </si>
  <si>
    <t>HUGO ALBERTO DEL CARPIO DEL PRATT</t>
  </si>
  <si>
    <t>83174-056-180213</t>
  </si>
  <si>
    <t>ESTACION DE SERVICIOS EL TREN S.R.L.</t>
  </si>
  <si>
    <t>CARRETERA PANAMERICANA SUR KM. 24</t>
  </si>
  <si>
    <t>C1:5033:GASOHOL 95 PLUS C2:5020:GASOHOL 95 PLUS </t>
  </si>
  <si>
    <t>C1:10080:GASOHOL 90 PLUS </t>
  </si>
  <si>
    <t>C1:10107:Diesel B5 S-50 </t>
  </si>
  <si>
    <t>C1:4056:Diesel B5 S-50 C2:6078:GASOHOL 97 PLUS </t>
  </si>
  <si>
    <t>91261-056-040719</t>
  </si>
  <si>
    <t>AUTOZONE S.A.C.</t>
  </si>
  <si>
    <t>MZ. 32 LT. 5 PP.JJ. TUPAC AMARU - VISTA ALEGRE</t>
  </si>
  <si>
    <t>C1:1000:GASOHOL 95 PLUS C2:1000:GASOHOL 97 PLUS </t>
  </si>
  <si>
    <t>CESAR COLINA</t>
  </si>
  <si>
    <t>33657-056-210819</t>
  </si>
  <si>
    <t>LUISA ANGELICA TORRES VASQUEZ</t>
  </si>
  <si>
    <t>AV. NICOLAS AYLLON (CARRETERA CENTRAL) KM. 12, SUBLOTE A DEL FUNDO SAN JUAN DE PARIACHI</t>
  </si>
  <si>
    <t>C1:4000:SIN PRODUCTO C2:4000:SIN PRODUCTO </t>
  </si>
  <si>
    <t>16592-056-040118</t>
  </si>
  <si>
    <t>SERVICE CLEMENT’S S.R.L.</t>
  </si>
  <si>
    <t>VARIANTE DE UCHUMAYO KM 1.5</t>
  </si>
  <si>
    <t>SACHACA</t>
  </si>
  <si>
    <t>C1:3500:GASOHOL 97 PLUS </t>
  </si>
  <si>
    <t>MARITZA CRISTINA PINO VALDIVIA DE MANRIQUE</t>
  </si>
  <si>
    <t>142077-056-270719</t>
  </si>
  <si>
    <t xml:space="preserve">ESTACION DE SERVICIOS EL GODO S.A.C. </t>
  </si>
  <si>
    <t>INTERSECCION DE LA AV. LOS HALCONES Y LA CALLE SAN LUIS DE NIEVERIA LOTE 3B</t>
  </si>
  <si>
    <t>C1:4000:GASOHOL 90 PLUS C2:1500:GASOHOL 95 PLUS C3:1500:GASOHOL 98 PLUS </t>
  </si>
  <si>
    <t>LENIN EDISON VILCHEZ SANCHEZ</t>
  </si>
  <si>
    <t>136136-056-160718</t>
  </si>
  <si>
    <t>ENT ENERGY S.A.C.</t>
  </si>
  <si>
    <t>LOTE 1 PREDIO LA GARGANTA SECTOR CAMPIÑA MOCHE FRENTE A CARRETERA PANAMERICANA KM. 560</t>
  </si>
  <si>
    <t>C1:6500:GASOHOL 97 PLUS </t>
  </si>
  <si>
    <t xml:space="preserve">TEODORO MIGUEL CARDENAS VALVERDE </t>
  </si>
  <si>
    <t>33371-056-020718</t>
  </si>
  <si>
    <t>AV. 9 DE DICIEMBRE Nº 1301</t>
  </si>
  <si>
    <t>C1:10400:GASOHOL 95 PLUS </t>
  </si>
  <si>
    <t>C1:6600:GASOHOL 90 PLUS </t>
  </si>
  <si>
    <t>97457-056-240318</t>
  </si>
  <si>
    <t>INVERSIONES DE ABASTECIMIENTO Y SERVICIO AUTOMOTRIZ SIERRA S.R.L.</t>
  </si>
  <si>
    <t>JR. RAMON CASTILLA MARQUESADO N° 1290</t>
  </si>
  <si>
    <t>C1:5000:GASOHOL 90 PLUS C2:2000:Diesel B5 S-50 </t>
  </si>
  <si>
    <t>C3:1500:GASOHOL 84 PLUS C4:1500:GASOHOL 95 PLUS </t>
  </si>
  <si>
    <t>ERMELA OLIVA ALEGRE RIVERA</t>
  </si>
  <si>
    <t>85237-056-150720</t>
  </si>
  <si>
    <t>GRIFO INVERSIONES GARCIA S.R.L.</t>
  </si>
  <si>
    <t>AA.VV. LOS TINGALES LOTE Nº 10-B - AFILADOR</t>
  </si>
  <si>
    <t>C1:2000:GASOHOL 90 PLUS C2:2000:GASOHOL 95 PLUS C3:2000:Diesel B5 S-50 </t>
  </si>
  <si>
    <t>CARLOS GARCIA ARGANDOÑA</t>
  </si>
  <si>
    <t>14872-056-101219</t>
  </si>
  <si>
    <t>AV. JOSE CARLOS MARIATEGUI, ESQ. AV. REVOLUCION. SECTOR 3 GRUPO 15 MZ. A, LTS. 12 Y 13</t>
  </si>
  <si>
    <t>98935-056-130519</t>
  </si>
  <si>
    <t>CIPRIANO MARTEL RAUL HEINZ</t>
  </si>
  <si>
    <t xml:space="preserve">JR. PACHITEA S/N - PREDIO CHUNCACUNA </t>
  </si>
  <si>
    <t>40806-056-180720</t>
  </si>
  <si>
    <t>NEGOCIACIONES VIRGEN DE COPACABANA EMPRESA INDIVIDUAL DE RESPONSABILIDAD LIMITADA</t>
  </si>
  <si>
    <t>ESQ. AV PRINCIPAL Y AV Nº 1 CORREDOR COMERCIAL AREA Nº 5, SECTOR 4 - PAMPA INALAMBRICA</t>
  </si>
  <si>
    <t>ELIAS JORGE RODRIGUEZ AGUILAR</t>
  </si>
  <si>
    <t>8103-056-280514</t>
  </si>
  <si>
    <t>GASOCENTRO Y GRIFO SAN MIGUEL E.I.R.L.</t>
  </si>
  <si>
    <t>AV. UNIVERSITARIA N° 3003 – CAYHUAYNA BAJA</t>
  </si>
  <si>
    <t>JULIA LEON DE ALVA</t>
  </si>
  <si>
    <t>15418-056-290920</t>
  </si>
  <si>
    <t>GRIFO EL CHUGURANO E.I.R.L.</t>
  </si>
  <si>
    <t>CARRETERA CHICLAYO-CHONGOYAPE KM. 25 SECTOR LOS PINOS</t>
  </si>
  <si>
    <t>C1:4300:Diesel B5 S-50 </t>
  </si>
  <si>
    <t>C1:1430:GASOHOL 95 PLUS C2:1430:GASOHOL 84 PLUS C3:1430:GASOHOL 90 PLUS </t>
  </si>
  <si>
    <t>C1:4610:Diesel B5 S-50 </t>
  </si>
  <si>
    <t>C1:1640:GASOHOL 84 PLUS </t>
  </si>
  <si>
    <t>ALEJANDRO FERNANDEZ DIAZ</t>
  </si>
  <si>
    <t>136127-056-210518</t>
  </si>
  <si>
    <t xml:space="preserve">JAIME EDWIN GOYAS ROBLES </t>
  </si>
  <si>
    <t xml:space="preserve">FUNDO OLIVO SECTOR PALLE VIEJO CÓDIGO CATASTRAL 01571 - AV. MARISCAL CASTILLA S/N </t>
  </si>
  <si>
    <t>C1:2000:GASOHOL 90 PLUS C2:4000:Diesel B5 S-50 </t>
  </si>
  <si>
    <t>JAIME EDWIN GOYAS ROBLES</t>
  </si>
  <si>
    <t>134062-056-280920</t>
  </si>
  <si>
    <t>INVERSIONES Y SERVICIOS LEO S.R.L.</t>
  </si>
  <si>
    <t>PROL. AV. VIA DE EVITAMIENTO SUR-CARRETERA A JESUS BARRIO SAN MARTIN (FRENTE A PLANTA REVISION TECNICA)</t>
  </si>
  <si>
    <t>C1:4000:Diesel B5 S-50 C2:1600:GASOHOL 95 PLUS C3:1600:GASOHOL 95 PLUS </t>
  </si>
  <si>
    <t>VICTOR RUIZ VASQUEZ</t>
  </si>
  <si>
    <t>21636-056-020720</t>
  </si>
  <si>
    <t>ESTACION DE SERVICIOS ESPINOZA ORE HNOS S.R.L.</t>
  </si>
  <si>
    <t>AV LOS INCAS N° 1003 - 1005</t>
  </si>
  <si>
    <t>C1:7500:SIN PRODUCTO </t>
  </si>
  <si>
    <t>C1:4000:Diesel B5 S-50 C2:4000:SIN PRODUCTO </t>
  </si>
  <si>
    <t>RUBEN BASILIO ESPINOZA ORE</t>
  </si>
  <si>
    <t>15404-056-141219</t>
  </si>
  <si>
    <t>COMPAÑIA MACAE S.A.C.</t>
  </si>
  <si>
    <t>AV. CORONEL PARRA Nº 371</t>
  </si>
  <si>
    <t>GERMAN WALTER MENDOZA ESTEBAN</t>
  </si>
  <si>
    <t>85151-056-230916</t>
  </si>
  <si>
    <t>MEGA GAS S.A.C.</t>
  </si>
  <si>
    <t>AV. SALAVERRY 490 - URB. PATAZCA</t>
  </si>
  <si>
    <t>CARLO FERNANDO VASQUEZ YEPES</t>
  </si>
  <si>
    <t>16742-056-231020</t>
  </si>
  <si>
    <t>V &amp; Q ASOCIADOS S.A.C.</t>
  </si>
  <si>
    <t>ESQ. AV. SAN MARTIN Y AV. LIBERTAD MZ. K, LOTE 4, 5 Y 6 COOP. CANTO GRANDE</t>
  </si>
  <si>
    <t>C1:1500:GASOHOL 95 PLUS C2:1500:GASOHOL 90 PLUS </t>
  </si>
  <si>
    <t>C1:1500:SIN PRODUCTO </t>
  </si>
  <si>
    <t>MORAYMA VEGA QUINTEROS</t>
  </si>
  <si>
    <t>19924-056-221217</t>
  </si>
  <si>
    <t>ESTACION DE SERVICIOS TORRESTRELLA S.R.L.</t>
  </si>
  <si>
    <t>AV. FEDERICO VILLARREAL N° 663 URB. EL PALOMAR</t>
  </si>
  <si>
    <t xml:space="preserve">WINSTON DANILO RODRIGUEZ VILCHEZ </t>
  </si>
  <si>
    <t>130277-056-281217</t>
  </si>
  <si>
    <t>PREDIO RURAL MARCHAND SECTOR MALA CODIGO CATASTRAL 8-3208600-019052 PROYECTO PREDIOS DE MALA VALLE MALA</t>
  </si>
  <si>
    <t>138173-056-171019</t>
  </si>
  <si>
    <t>KAI ZUT SOCIEDAD ANONIMA CERRADA</t>
  </si>
  <si>
    <t>PREDIO YANAC PARCELA 20889</t>
  </si>
  <si>
    <t>DIAZ NAVARRO LADIS THALIA</t>
  </si>
  <si>
    <t>7296-056-120917</t>
  </si>
  <si>
    <t>GRIFOS DURAND S.A.C.</t>
  </si>
  <si>
    <t>CARRETERA HUANUCO-TINGOMARIA KM 3.5</t>
  </si>
  <si>
    <t>19906-056-140218</t>
  </si>
  <si>
    <t>FLORES COMBUSTIBLES S.A.C.</t>
  </si>
  <si>
    <t>AV. HEROES DE LA BREÑA N°460 C.P. HUAMANMARCA</t>
  </si>
  <si>
    <t>HUAYUCACHI</t>
  </si>
  <si>
    <t>C1:3000:GASOHOL 84 PLUS C2:6000:Diesel B5 S-50 </t>
  </si>
  <si>
    <t>C1:5300:GASOHOL 97 PLUS </t>
  </si>
  <si>
    <t>WILMER FLORES FLORES</t>
  </si>
  <si>
    <t>19949-056-181016</t>
  </si>
  <si>
    <t>GASOCENTRO NORTE S.A.C.</t>
  </si>
  <si>
    <t>AV. GERARDO UNGER N° 3301 ESQ. CON JR. RUFINO MACEDO</t>
  </si>
  <si>
    <t>C1:4500:GAS LICUADO DE PETROLEO </t>
  </si>
  <si>
    <t>C1:8600:Diesel B5 S-50 </t>
  </si>
  <si>
    <t>C1:2900:GASOHOL 95 PLUS C2:2900:GASOHOL 97 PLUS </t>
  </si>
  <si>
    <t xml:space="preserve">MANDUJANO PALOMINO AMILCAR ALEJANDRO </t>
  </si>
  <si>
    <t>18406-056-220916</t>
  </si>
  <si>
    <t>INT. DE LA AV. AMERICA NORTE Nº 2460 Y NICOLAS DE PIEROLA</t>
  </si>
  <si>
    <t>C1:4000:GASOHOL 95 PLUS C2:4000:DIESEL B5 </t>
  </si>
  <si>
    <t>19890-056-010816</t>
  </si>
  <si>
    <t>ESTACION SERVICIOS G &amp; G E.I.R.L.</t>
  </si>
  <si>
    <t>CARRETERA PANAMERICANA SUR KM. 329 + 720</t>
  </si>
  <si>
    <t>YSABEL MARIA JOSEFINA CHACALTANA GONZALES</t>
  </si>
  <si>
    <t>33541-056-200820</t>
  </si>
  <si>
    <t>GRIFO RACING E.I.R.L.</t>
  </si>
  <si>
    <t>CARRETERA CENTRAL HUANUCO - TINGO MARIA KM 2.5</t>
  </si>
  <si>
    <t>EMIGIDIO ESPINOZA OSCANOA</t>
  </si>
  <si>
    <t>9184-056-060318</t>
  </si>
  <si>
    <t>CARRETERA FERNANDO BELAUNDE TERRY KM. 504 + 870</t>
  </si>
  <si>
    <t>C1:6000:DIESEL B5,Diesel B5 S-50 UV </t>
  </si>
  <si>
    <t>C1:9100:DIESEL B5,Diesel B5 S-50 UV </t>
  </si>
  <si>
    <t>C1:3900:GASOLINA 95 </t>
  </si>
  <si>
    <t>140070-056-111218</t>
  </si>
  <si>
    <t>SERVICENTRO OVALO URETA S.A.C.</t>
  </si>
  <si>
    <t>AV. INCA GARCILAZO DE LA VEGA 905</t>
  </si>
  <si>
    <t>C1:5500:GASOHOL 90 PLUS C2:2500:Diesel B5 S-50 </t>
  </si>
  <si>
    <t>BENJAMIN SANTIAGO BISSO PICHILINGUE</t>
  </si>
  <si>
    <t>118113-056-050318</t>
  </si>
  <si>
    <t xml:space="preserve">ESCOH S.A.C. </t>
  </si>
  <si>
    <t>AUTOPISTA IMPERIAL - SAN VICENTE (ALTURA KM. 4.00), AV. MARISCAL BENAVIDES SUB LOTE 1B</t>
  </si>
  <si>
    <t>C1:1000:GASOHOL 97 PLUS C2:2000:GASOHOL 90 PLUS C3:2000:GASOHOL 95 PLUS C4:3000:Diesel B5 S-50 </t>
  </si>
  <si>
    <t>CESAR AUGUSTO LOPEZ COLOMA</t>
  </si>
  <si>
    <t>63285-056-141020</t>
  </si>
  <si>
    <t>ADRIAN JESUS PAYANO POMALAZA</t>
  </si>
  <si>
    <t>AV. PUERTO BERMUDEZ N° 1294 SECTOR ZONA INDUSTRIAL</t>
  </si>
  <si>
    <t>C1:4029:GASOHOL 90 PLUS </t>
  </si>
  <si>
    <t>C1:1483:GASOHOL 95 PLUS </t>
  </si>
  <si>
    <t>C1:4605:Diesel B5 S-50 </t>
  </si>
  <si>
    <t>C1:1236:Diesel B5 S-50 </t>
  </si>
  <si>
    <t>143159-056-051119</t>
  </si>
  <si>
    <t>ESTACION DE SERVICIOS GRUPO A &amp; T PERU SOCIEDAD ANONIMA CERRADA</t>
  </si>
  <si>
    <t>CARRETERA PANAMERICANA SUR KM. 402</t>
  </si>
  <si>
    <t>LLIPATA</t>
  </si>
  <si>
    <t>TERRAZAS LOAIZA MARUJA SMILDA</t>
  </si>
  <si>
    <t>8746-056-261117</t>
  </si>
  <si>
    <t>AV. NICOLAS DE PIEROLA N° 1251 URB. SAN FERNANDO</t>
  </si>
  <si>
    <t>C1:0:DIESEL B5,Diesel B5 S-50 C2:4000:GASOHOL 95 PLUS </t>
  </si>
  <si>
    <t>C1:4000:DIESEL B5,Diesel B5 S-50 C2:0:DIESEL B5,Diesel B5 S-50 </t>
  </si>
  <si>
    <t>C1:4000:GASOHOL 98 PLUS C2:4000:GASOHOL 90 PLUS </t>
  </si>
  <si>
    <t>C2:4000:DIESEL B5,Diesel B5 S-50 </t>
  </si>
  <si>
    <t>132211-056-201017</t>
  </si>
  <si>
    <t xml:space="preserve">RED INTERNACIONAL DE COMBUSTIBLE Y SERVICIO AUTOMOTRIZ SRL </t>
  </si>
  <si>
    <t xml:space="preserve">CARRETERA CENTRAL KM 22.700 </t>
  </si>
  <si>
    <t>RICARDO ALEJANDRO ROJAS CALDERON</t>
  </si>
  <si>
    <t>133620-056-030419</t>
  </si>
  <si>
    <t>AV. DOS DE MAYO N° 1050 MZ. 1 LOTE 3 LOTIZACION MONTEVIDEO SECTOR BUENOS AIRES SUR</t>
  </si>
  <si>
    <t>84582-056-011119</t>
  </si>
  <si>
    <t>GRIFO JUSAT S.A.C.</t>
  </si>
  <si>
    <t>AV. BOLIVAR S/N, SUB LOTES 2 C3 (CARRETERA CENTRAL LIMA - LA OROYA KM. 37.5)</t>
  </si>
  <si>
    <t>C1:9600:Diesel B5 S-50 </t>
  </si>
  <si>
    <t>C1:1000:GASOHOL 97 PLUS C2:1000:GASOHOL 90 PLUS C3:1000:GASOHOL 90 PLUS C4:1300:GASOHOL 84 PLUS C5:1500:GASOHOL 95 PLUS </t>
  </si>
  <si>
    <t>JUSTINO ATENCIO GUTIERREZ</t>
  </si>
  <si>
    <t>84568-056-200720</t>
  </si>
  <si>
    <t>ESTACION DE SERVICIOS PETROFAST RV SOCIEDAD ANONIMA CERRADA</t>
  </si>
  <si>
    <t>CARRETERA PANAMERICANA NORTE KM 1266 + 579,6</t>
  </si>
  <si>
    <t>C1:2850:GASOHOL 84 PLUS </t>
  </si>
  <si>
    <t>C1:2850:GASOHOL 90 PLUS </t>
  </si>
  <si>
    <t>C1:1150:GASOHOL 95 PLUS </t>
  </si>
  <si>
    <t>MIGUEL EDGARD RODRIGUEZ DE LAMA</t>
  </si>
  <si>
    <t>18303-056-061020</t>
  </si>
  <si>
    <t xml:space="preserve">AV. JORGE BASADRE GROHMANN N° 348-356 </t>
  </si>
  <si>
    <t>ANGÉLICA MÓNICA MAQUERA CÁCERES</t>
  </si>
  <si>
    <t>16671-056-240720</t>
  </si>
  <si>
    <t>BEMCHO S.A.C.</t>
  </si>
  <si>
    <t>JR. SARGENTO ENRIQUE VILLAR 308 MZ. 12-B LT. 06 URB. SANTA BEATRIZ</t>
  </si>
  <si>
    <t>C1:3000:SIN PRODUCTO C2:5000:GASOHOL 90 PLUS </t>
  </si>
  <si>
    <t>C1:5000:Diesel B5 S-50 C2:3000:GASOHOL 90 PLUS </t>
  </si>
  <si>
    <t xml:space="preserve">LUCIA GOICOCHEA PAULETTE </t>
  </si>
  <si>
    <t>9103-056-071117</t>
  </si>
  <si>
    <t>GRIFOS OBISPO E.I.R.L</t>
  </si>
  <si>
    <t>AV.SAN FRANCISCO MZ.D LOTES 17,18,19 Y 20</t>
  </si>
  <si>
    <t>C1:9200:Diesel B5 S-50 </t>
  </si>
  <si>
    <t>EDILBERTO OBISPO CARDENAS</t>
  </si>
  <si>
    <t>138296-056-150520</t>
  </si>
  <si>
    <t>ESTACION DE SERVICIO PUYANGO TUMBES S.A.C.</t>
  </si>
  <si>
    <t>CARRETERA PANAMERICANA NORTE KM 1256+100</t>
  </si>
  <si>
    <t>C1:5000:GASOHOL 84 PLUS C2:3500:GASOHOL 90 PLUS C3:1500:GASOHOL 95 PLUS </t>
  </si>
  <si>
    <t>JAVIER ALEMÁN CORONEL</t>
  </si>
  <si>
    <t>18704-056-110120</t>
  </si>
  <si>
    <t>CORPORACION GEAMAR S.A.C.</t>
  </si>
  <si>
    <t xml:space="preserve">AV. CARLOS IZAGUIRRE MZ. D LTES. 4, 5 Y 6. URBANIZACION CALIFORNIA </t>
  </si>
  <si>
    <t>SAMUEL ELIAS ASTUDILLO LEON</t>
  </si>
  <si>
    <t>17913-056-050516</t>
  </si>
  <si>
    <t>INVERSIONES MONICA S.A.C.</t>
  </si>
  <si>
    <t>AV. HUANCAVELICA Nº 304 - 348</t>
  </si>
  <si>
    <t>MONICA PAOLA TOSCANO ALIAGA</t>
  </si>
  <si>
    <t>127846-056-240417</t>
  </si>
  <si>
    <t>JUSTO PASTOR ARIAS ABARCA</t>
  </si>
  <si>
    <t>CARRETERA SAN IGNACIO – JAEN KM 6 (PARCELA RUSTICA LA TUNA SECTOR PORTACHUELO)</t>
  </si>
  <si>
    <t>SAN IGNACIO</t>
  </si>
  <si>
    <t>9357-056-240117</t>
  </si>
  <si>
    <t>ESTACION DE SERVICIOS NECOLI E.I.R.L.</t>
  </si>
  <si>
    <t>AV. RAMON CASTILLA N° 1443</t>
  </si>
  <si>
    <t>C1:3000:GASOHOL 97 PLUS,GASOLINA 95 </t>
  </si>
  <si>
    <t>C1:8000:GASOLINA 84 </t>
  </si>
  <si>
    <t>107381-056-240820</t>
  </si>
  <si>
    <t>AV. 5 DE AGOSTO CON CALLE LOS ANGELES, MZ “A” LOTES 1, 2 Y 23 DEL PROGRAMA DE VIVIENDA Y COMERCIO SAN VALENTIN DE HUACHIPA</t>
  </si>
  <si>
    <t>C1:2000:GASOHOL 90 PLUS C2:2000:GASOHOL 90 PLUS C3:2000:GASOHOL 95 PLUS </t>
  </si>
  <si>
    <t>120799-056-230119</t>
  </si>
  <si>
    <t xml:space="preserve">H BELLIDO TRANSPORTES S.A.C. </t>
  </si>
  <si>
    <t>CARRETERA PANAMERICANA SUR KM. 199.5 LOTES 1 Y 2</t>
  </si>
  <si>
    <t>C1:1500:Diesel B5 S-50 C2:1500:GASOHOL 97 PLUS C3:1500:GASOHOL 95 PLUS </t>
  </si>
  <si>
    <t>ROSMYLL IVAN BELLIDO ROCCA</t>
  </si>
  <si>
    <t>141792-056-260319</t>
  </si>
  <si>
    <t>MOLINOS MAIZAR PERU S.A.C.</t>
  </si>
  <si>
    <t>AV. FEDERICO VILLARREAL N° 1798 URB. SEMIRUSTICA EL BOSQUE</t>
  </si>
  <si>
    <t>C1:9911:Diesel B5 S-50 </t>
  </si>
  <si>
    <t>C1:3951:GASOHOL 95 PLUS </t>
  </si>
  <si>
    <t>C1:5948:GASOHOL 90 PLUS </t>
  </si>
  <si>
    <t>JIAN FRANKLIN LAVADO RAMIREZ</t>
  </si>
  <si>
    <t>8535-056-040118</t>
  </si>
  <si>
    <t>AV. VICTOR LARCO HERRERA N° 885 URB. LA MERCED</t>
  </si>
  <si>
    <t>C1:1500:GASOHOL 97 PLUS C2:3500:Diesel B5 S-50 </t>
  </si>
  <si>
    <t>16793-056-270719</t>
  </si>
  <si>
    <t>CORPORACION ANDINA DEL GAS PERU S.A.C.</t>
  </si>
  <si>
    <t>AV. JESUS N° 400</t>
  </si>
  <si>
    <t>64466-056-050118</t>
  </si>
  <si>
    <t xml:space="preserve">ESTACION DE SERVICIOS LA UNION E.I.R.L. </t>
  </si>
  <si>
    <t>AV. CAMINO DEL INCA Y LA CALLE N° 13, MZ.I, LT.9,10, 11 Y 12 SECTOR E, BARRIO X, UPIS PROYECTO ESPECIAL CIUDAD PACHACUTEC.</t>
  </si>
  <si>
    <t>C1:2580:Diesel B5 S-50 </t>
  </si>
  <si>
    <t>C1:2200:GASOHOL 97 PLUS </t>
  </si>
  <si>
    <t>C1:2200:GASOHOL 95 PLUS </t>
  </si>
  <si>
    <t>CRISTINA REINA QUIROZ PONCE</t>
  </si>
  <si>
    <t>151648-056-151020</t>
  </si>
  <si>
    <t>TRANSPORTES ACUARIO S.A.C.</t>
  </si>
  <si>
    <t>U.C. Nº 55725 PREDIO RUSTICO SUNCHUBAMBA SECTOR SUNCHUBAMBA CASERIO HUACARIZ (REF. CARRETERA CAJAMARA-SAN MARCOS A 100 M CRUCE CARRETERA A LA PACCHA)</t>
  </si>
  <si>
    <t>C1:5000:GASOHOL 84 PLUS C2:5000:GASOHOL 90 PLUS </t>
  </si>
  <si>
    <t>C1:5000:GASOHOL 95 PLUS C2:2500:GASOHOL 98 PLUS C3:2500:Diesel B5 S-50 </t>
  </si>
  <si>
    <t>LUIS CABANILLAS CHILON</t>
  </si>
  <si>
    <t>8561-056-081116</t>
  </si>
  <si>
    <t xml:space="preserve">SERGIO CABREJOS JARA </t>
  </si>
  <si>
    <t>AV. BATANGRANDE N° 291</t>
  </si>
  <si>
    <t>C1:5244:DIESEL B5,Diesel B5 S-50 </t>
  </si>
  <si>
    <t>C1:3131:GASOHOL 84 PLUS C2:2097:GASOHOL 90 PLUS </t>
  </si>
  <si>
    <t>130166-056-271020</t>
  </si>
  <si>
    <t>GRIFOS PACORA E.I.R.L.</t>
  </si>
  <si>
    <t>CARRET. PANAMERICANA NORTE KM. 29 -PREDIO SAN SEBASTIAN</t>
  </si>
  <si>
    <t>PACORA</t>
  </si>
  <si>
    <t>SAENZ ROCA GILBER FRANK</t>
  </si>
  <si>
    <t>95385-056-260115</t>
  </si>
  <si>
    <t>SERVITRANSER SAC</t>
  </si>
  <si>
    <t>CARRETERA A YURA KM. 9, ESQUINA CON VIA DE EVITAMIENTO, SUB LOTE 4, RIO SECO, ANEXO ZAMACOLA</t>
  </si>
  <si>
    <t>C1:5323:Diesel B5 S-50 </t>
  </si>
  <si>
    <t>C1:3973:GASOHOL 90 PLUS </t>
  </si>
  <si>
    <t>C1:4039:GASOHOL 84 PLUS </t>
  </si>
  <si>
    <t>ROGER ANGEL MACHACA GALLEGOS</t>
  </si>
  <si>
    <t>96000-056-200617</t>
  </si>
  <si>
    <t>CARRETERA ASFALTADA CASMA-HUARAZ KM. 141.200 SECTOR PICUP,VALLE DEL CALLEJON DE HUAYLAS</t>
  </si>
  <si>
    <t>C1:3400:GASOHOL 90 PLUS PD </t>
  </si>
  <si>
    <t>102381-056-010419</t>
  </si>
  <si>
    <t>PARQUE INDUSTRIAL MZ. G LTS. 5 Y 6 AV. JORGE BASADRE NORTE-CALLE 13</t>
  </si>
  <si>
    <t>C1:5000:GASOHOL 95 PLUS C2:5000:GASOHOL 90 PLUS C3:2000:GASOHOL 84 PLUS </t>
  </si>
  <si>
    <t>6841-056-091020</t>
  </si>
  <si>
    <t>CARRETERA PANAMERICANA SUR KM. 307</t>
  </si>
  <si>
    <t>82362-056-240617</t>
  </si>
  <si>
    <t>SERVICENTROS MIGUEL GRAU S.R.L.</t>
  </si>
  <si>
    <t>AV LOS COLONIZADORES, MANZANA O LOTE 58, ZONA PEDREGAL NORTE, SECCION A</t>
  </si>
  <si>
    <t>CAYLLOMA</t>
  </si>
  <si>
    <t>MAJES</t>
  </si>
  <si>
    <t>C1:5222:Diesel B5 S-50 </t>
  </si>
  <si>
    <t>C1:1523:GASOHOL 84 PLUS C2:2556:GASOHOL 90 PLUS C3:1523:GASOHOL 95 PLUS </t>
  </si>
  <si>
    <t>WALTER BENITO SALAZAR CHIRIO</t>
  </si>
  <si>
    <t>62036-056-021219</t>
  </si>
  <si>
    <t>CARRETERA CHEPEN - TALAMBO KM 0+700</t>
  </si>
  <si>
    <t xml:space="preserve">EDWIN VARGAS INFANTE </t>
  </si>
  <si>
    <t>7632-056-231019</t>
  </si>
  <si>
    <t>AV LUIS ORMEÑO N° 591</t>
  </si>
  <si>
    <t>C1:5000:GASOHOL 98 PLUS C2:3000:GASOHOL 84 PLUS </t>
  </si>
  <si>
    <t>7026-056-310515</t>
  </si>
  <si>
    <t>GRIFO CRISTO SALVADOR S.A.C.</t>
  </si>
  <si>
    <t>AV. LOS HEROES N° 1366 -1372, URB. JARDIN</t>
  </si>
  <si>
    <t>1830:GAS LICUADO DE PETROLEO </t>
  </si>
  <si>
    <t>6791-056-310311</t>
  </si>
  <si>
    <t>ESTACIÓN DE SERVICIOS PASO DE LOS ANDES S.A.C.</t>
  </si>
  <si>
    <t>PANAMERICANA SUR KM. 57.4</t>
  </si>
  <si>
    <t>C1:3500:DIESEL B5 </t>
  </si>
  <si>
    <t>C1:3000:GASOLINA 97 </t>
  </si>
  <si>
    <t>C1:2500:GASOLINA 90 </t>
  </si>
  <si>
    <t>105599-056-310117</t>
  </si>
  <si>
    <t>MULTISERVICIOS ECOGAS S.A.C.</t>
  </si>
  <si>
    <t>AV. CARAPONGO Y CALLE LOS ROBLES, MZ. D, LOTE 1 – URB. POPULAR NUEVO HORIZONTE CARAPONGO</t>
  </si>
  <si>
    <t>C1:1650:Diesel B5 S-50 C2:4950:GASOHOL 90 PLUS </t>
  </si>
  <si>
    <t>C1:3300:GASOHOL 95 PLUS C2:3300:GASOHOL 97 PLUS </t>
  </si>
  <si>
    <t>LUIS EDUARDO CISNEROS OLANO</t>
  </si>
  <si>
    <t>105924-056-230718</t>
  </si>
  <si>
    <t>RICHARD PEDRO MALPARTIDA DOMINGUEZ</t>
  </si>
  <si>
    <t>CARRETERA HUANUCO TINGO MARIA KM 3.5</t>
  </si>
  <si>
    <t>C1:2700:GASOHOL 97 PLUS </t>
  </si>
  <si>
    <t>110291-056-080319</t>
  </si>
  <si>
    <t xml:space="preserve">INVERSIONES SMITH SPP E.I.R.L. </t>
  </si>
  <si>
    <t>CARRETERA A LA CAMPIÑA (PROLONGACION AV. BOLOGNESI S/N UC08932) - SECTOR PAMAPA DE ANTIVAL</t>
  </si>
  <si>
    <t>SUPE</t>
  </si>
  <si>
    <t>C1:2300:Diesel B5 S-50 </t>
  </si>
  <si>
    <t>C1:1150:GASOHOL 95 PLUS C2:1150:GASOHOL 90 PLUS </t>
  </si>
  <si>
    <t>PACHECO GARCIA ROSA ELVIRA</t>
  </si>
  <si>
    <t>34649-056-050318</t>
  </si>
  <si>
    <t>ESCOH S.A.C.</t>
  </si>
  <si>
    <t>ESQ. AV. DE LA FRATERNIDAD CON LA CALLE 19, MZ W-1, LOTES 15-16, AAHH. ENRIQUE MONTENEGRO</t>
  </si>
  <si>
    <t>C1:2500:Diesel B5 S-50 C2:1250:GASOHOL 90 PLUS C3:1250:GASOHOL 95 PLUS </t>
  </si>
  <si>
    <t>6900-056-071015</t>
  </si>
  <si>
    <t>INVERSIONES VILLAVICENCIO &amp; HNOS S.A.C.</t>
  </si>
  <si>
    <t>AV. SAN CRISTOBAL N° 117</t>
  </si>
  <si>
    <t>C1:4560:GASOHOL 95 PLUS </t>
  </si>
  <si>
    <t>C1:4460:DIESEL B5 </t>
  </si>
  <si>
    <t>C1:4540:GASOHOL 84 PLUS </t>
  </si>
  <si>
    <t>ALEX MICHEL VILLAVICENCIO VIOLETA</t>
  </si>
  <si>
    <t>100259-056-190719</t>
  </si>
  <si>
    <t>AV. GRAN CHIMU MZ. C LOTE 12 INTERSECCION CON AV. MIGUEL GRAU</t>
  </si>
  <si>
    <t>C1:3000:GASOHOL 84 PLUS C2:2000:GASOHOL 90 PLUS </t>
  </si>
  <si>
    <t>19985-056-131219</t>
  </si>
  <si>
    <t>AV. RAFAEL ESCARDO N° 250</t>
  </si>
  <si>
    <t>44174-056-300420</t>
  </si>
  <si>
    <t>ESTACION DE SERVICIOS UTCUBAMBA II S.R.L.</t>
  </si>
  <si>
    <t>CARRETERA FERNADO BELAUNDE TERRY KM. 231+451 PREDIO SECTOR RIEGUILLO</t>
  </si>
  <si>
    <t>C1:2000:GASOLINA 90 C2:2000:GASOLINA 90 C3:2000:GASOLINA 84 </t>
  </si>
  <si>
    <t>145317-056-190719</t>
  </si>
  <si>
    <t>CORPORACION SATURNINA TENORIO S.A.C.</t>
  </si>
  <si>
    <t>SECTOR PARQUE INDUSTRIAL MZ. G, SUB LOTES 16, 17, 18A Y 16, 17, 18B, AV. INDUSTRIAL ESQUINA CON CALLE 13</t>
  </si>
  <si>
    <t>C1:6000:GASOHOL 95 PLUS C2:4000:GASOHOL 97 PLUS </t>
  </si>
  <si>
    <t>138972-056-161020</t>
  </si>
  <si>
    <t>ESTACION DE SERVICIOS AFILADOR E.I.R.L</t>
  </si>
  <si>
    <t>CARRETERA TINGO MARIA - HUANUCO KM. 2, MZ. A, LOTE 3 AL 6, ZONA DE LOTIZACION MITAR</t>
  </si>
  <si>
    <t>C1:3000:GASOHOL 97 PLUS C2:4000:GASOHOL 95 PLUS </t>
  </si>
  <si>
    <t>7195-056-140415</t>
  </si>
  <si>
    <t>GRIFO EL PORVENIR S.R.L.</t>
  </si>
  <si>
    <t>AV. LA MARINA MZ P2 LOTE 1 - URB. LAS CASUARINAS</t>
  </si>
  <si>
    <t>C1:7000:DIESEL B5 </t>
  </si>
  <si>
    <t>ZOILA VIOLETA CANO TABOADA</t>
  </si>
  <si>
    <t>17869-056-190206</t>
  </si>
  <si>
    <t>SERVICENTRO MUSA E.I.R.L.</t>
  </si>
  <si>
    <t xml:space="preserve">AV. LA MOLINA ESTE Nº 2295, ESQUINA PUNTA PEJERREY - URB. EL SOL DE LA MOLINA </t>
  </si>
  <si>
    <t>CHRISTIAN GAMARRA ECHEGARAY</t>
  </si>
  <si>
    <t>106520-056-040214</t>
  </si>
  <si>
    <t>ESTACION DE SERVICIOS GOTARI S.A.</t>
  </si>
  <si>
    <t>JR. TRUJILLO N° 180</t>
  </si>
  <si>
    <t>C1:4500:GASOHOL 84 PLUS C2:1500:GASOHOL 95 PLUS </t>
  </si>
  <si>
    <t>C1:4500:GASOHOL 90 PLUS C2:1500:GASOHOL 97 PLUS </t>
  </si>
  <si>
    <t>RICARDO NEMESIO LOPEZ LAZO</t>
  </si>
  <si>
    <t>87590-056-120116</t>
  </si>
  <si>
    <t>ESTACION DE SERVICIOS LA FLORIDA S.A.C.</t>
  </si>
  <si>
    <t xml:space="preserve">SECTOR KIMIRIKI - AGUA DULCE, PRIMERA ETAPA </t>
  </si>
  <si>
    <t>JACKELYN TRINIDAD PEREZ CHANCO</t>
  </si>
  <si>
    <t>8038-056-240717</t>
  </si>
  <si>
    <t>ESTACION DE SERVICIOS DANIELA S.A.</t>
  </si>
  <si>
    <t>CARRETERA PANAMERICANA SUR KM. 299.5 PARCELA 237-238</t>
  </si>
  <si>
    <t>JUSTO MIGUEL CHIAWAY CHONG</t>
  </si>
  <si>
    <t>7108-056-020719</t>
  </si>
  <si>
    <t>SERVICENTRO HUARMEY S.A.C.</t>
  </si>
  <si>
    <t>CARRETERA PANAMERICANA NORTE KM. 294</t>
  </si>
  <si>
    <t>HUARMEY</t>
  </si>
  <si>
    <t>ROY EDUARDO ALVARADO BARRERA</t>
  </si>
  <si>
    <t>6809-056-040417</t>
  </si>
  <si>
    <t>SERVICENTRO JOSE GALVEZ S.A.</t>
  </si>
  <si>
    <t xml:space="preserve">AV. LIMA N° 1455 </t>
  </si>
  <si>
    <t>17910-056-190719</t>
  </si>
  <si>
    <t>AEROSERVICIOS S.A.C.</t>
  </si>
  <si>
    <t>CARRETERA PANAMERICANA NORTE KM. 42</t>
  </si>
  <si>
    <t>SANTA ROSA</t>
  </si>
  <si>
    <t>C1:3000:GASOHOL 90 PLUS C2:1000:SIN PRODUCTO </t>
  </si>
  <si>
    <t>XIOMARA JULIA GUERRERO MACEDO</t>
  </si>
  <si>
    <t>8472-056-180719</t>
  </si>
  <si>
    <t>ESTACION DE SERVICIO PACIFICO S.R.L.</t>
  </si>
  <si>
    <t>AV. AMERICA DEL NORTE Nº 108-114 ESQ. PROGN UNION Nº 1313</t>
  </si>
  <si>
    <t>C1:7000:GASOHOL 95 PLUS </t>
  </si>
  <si>
    <t>MISAEL DOMINGUEZ MENDIETA</t>
  </si>
  <si>
    <t>18862-056-161216</t>
  </si>
  <si>
    <t>ESTACION SR. DE LA ASENCION DE CACHUY S.A.C.</t>
  </si>
  <si>
    <t xml:space="preserve">CARRETERA PANAMERICANA SUR KM. 145.25 </t>
  </si>
  <si>
    <t>C1:7969:Diesel B5 S-50 </t>
  </si>
  <si>
    <t>C1:4060:GASOHOL 95 PLUS </t>
  </si>
  <si>
    <t>C1:4060:GASOHOL 90 PLUS </t>
  </si>
  <si>
    <t>C1:2026:SIN PRODUCTO C2:2026:GASOHOL 97 PLUS </t>
  </si>
  <si>
    <t>VICTOR MANUEL REVILLA VALLQUI</t>
  </si>
  <si>
    <t>19926-056-210518</t>
  </si>
  <si>
    <t>PETROCENTRO ESTACION N° 1 S.A.C.</t>
  </si>
  <si>
    <t>CARRETERA PANAMERICANA NORTE KM. 517, SECTOR SAN IDELFONSO</t>
  </si>
  <si>
    <t>C1:5300:GASOHOL 84 PLUS </t>
  </si>
  <si>
    <t>CESAR ALBERTO CANO SANTOS</t>
  </si>
  <si>
    <t>102685-056-171019</t>
  </si>
  <si>
    <t>ESTACION DE SERVICIO GGOCTA S.R.L.</t>
  </si>
  <si>
    <t>KM 2+350 VIA CHICLAYO-FERREÑAFE, MARGEN DERECHA UC 032 PREDIO CASA BLANCA</t>
  </si>
  <si>
    <t>LEONCIO GONZALES LATORRE</t>
  </si>
  <si>
    <t>8666-056-180720</t>
  </si>
  <si>
    <t xml:space="preserve">NEGOCIACIONES RODRIGUEZ EMPRESA INDIVIDUAL RESPONSABILIDAD LIMITADA-NEROD E.I.R.L. </t>
  </si>
  <si>
    <t>PARQUE INDUSTRIAL MZ A, LT 01 Y 29 - PAMPA INALAMBRICA</t>
  </si>
  <si>
    <t>C1:1800:GASOHOL 90 PLUS </t>
  </si>
  <si>
    <t>C1:3059:Diesel B5 S-50 </t>
  </si>
  <si>
    <t>C1:560:GASOHOL 95 PLUS </t>
  </si>
  <si>
    <t>96327-056-010520</t>
  </si>
  <si>
    <t>GASOLINERA CARIÑITO S.C.R.L.</t>
  </si>
  <si>
    <t>AV. CHACHAPOYAS Nº 1598</t>
  </si>
  <si>
    <t>C1:3600:GASOLINA 90 </t>
  </si>
  <si>
    <t>C1:2160:GASOLINA 84 </t>
  </si>
  <si>
    <t>C1:2160:GASOLINA 90 </t>
  </si>
  <si>
    <t>C1:2160:GASOLINA 95 </t>
  </si>
  <si>
    <t>18474-056-081019</t>
  </si>
  <si>
    <t>JOSE CARLOS MEDINA VELASQUEZ S.A.</t>
  </si>
  <si>
    <t>AV. INDEPENDENCIA N° 1243</t>
  </si>
  <si>
    <t>BRUNO EMILIO CAMACHO ARCE</t>
  </si>
  <si>
    <t>8386-056-030818</t>
  </si>
  <si>
    <t>T.R.M. S.A.C</t>
  </si>
  <si>
    <t>AV. LA PAZ N° 516 ESQUINA CON CALLE MANUEL MUÑOZ NAJAR</t>
  </si>
  <si>
    <t>C1:4000:GASOHOL 95 PLUS C2:5500:GASOHOL 84 PLUS </t>
  </si>
  <si>
    <t>C1:4000:GASOHOL 90 PLUS C2:5500:Diesel B5 S-50 </t>
  </si>
  <si>
    <t>RENZO CANE PARDO</t>
  </si>
  <si>
    <t>123805-056-121219</t>
  </si>
  <si>
    <t>AV. INDUSTRIAL MZ F LT 5 URB. LAS VEGAS ESQUINA AV. SAN JUAN</t>
  </si>
  <si>
    <t>C1:4000:SIN PRODUCTO C2:4000:GASOHOL 90 PLUS </t>
  </si>
  <si>
    <t>16618-056-011217</t>
  </si>
  <si>
    <t>PACHACUTEC INVERSIONES GENERALES S.R.L.</t>
  </si>
  <si>
    <t>ESQUINA AV. PACHACUTEC Y AV. EL SOL MZ. E LT. 1 PARQUE INDUSTRIAL</t>
  </si>
  <si>
    <t>C2:4000:GASOHOL 90 PLUS </t>
  </si>
  <si>
    <t>C1:4000:GASOHOL 95 PLUS C2:2000:GASOHOL 90 PLUS </t>
  </si>
  <si>
    <t>ALFREDO RUSBEL ENRIQUEZ VENTURA</t>
  </si>
  <si>
    <t>83031-056-180118</t>
  </si>
  <si>
    <t>ESTACION DE SERVICIOS TUCUME E.I.R.L.</t>
  </si>
  <si>
    <t>CARRETERA PANAMERICANA NORTE ANTIGUA S/N - PUENTE EL PAVO</t>
  </si>
  <si>
    <t>TUCUME</t>
  </si>
  <si>
    <t>C1:1540:GASOHOL 90 PLUS </t>
  </si>
  <si>
    <t>C1:2205:GASOHOL 84 PLUS </t>
  </si>
  <si>
    <t>140494-056-190219</t>
  </si>
  <si>
    <t>ESTACION DE SERVICIOS GLP AUTOMOTRIZ ELIZABETH E.I.R.L</t>
  </si>
  <si>
    <t>PREDIO HUANCAMUÑA, C.P. / PARC.7 - 8058950-04667, CARRETERA CASMA - HUARAZ KM 7.5</t>
  </si>
  <si>
    <t>BUENA VISTA ALTA</t>
  </si>
  <si>
    <t>39575-056-091219</t>
  </si>
  <si>
    <t>AV. PROLONGACION GRAU CUADRA N° 2</t>
  </si>
  <si>
    <t>C2:4000:DIESEL B5 </t>
  </si>
  <si>
    <t>8705-056-061119</t>
  </si>
  <si>
    <t>PUNTO GAS S.A.C.</t>
  </si>
  <si>
    <t>AV. MARISCAL OSCAR R. BENAVIDES N° 1623 - 1657, URB. LA TRINIDAD</t>
  </si>
  <si>
    <t>SERGIO AUGUSTO MATOS SIFUENTES</t>
  </si>
  <si>
    <t>14552-056-020717</t>
  </si>
  <si>
    <t>AV. NICOLAS DE PIEROLA Nº 1390 SUB LOTES 08, 09, 10, 11, 12, 13 Y 14 URB. SAN FERNANDO</t>
  </si>
  <si>
    <t>C1:1741:GASOHOL 95 PLUS </t>
  </si>
  <si>
    <t>120129-056-261218</t>
  </si>
  <si>
    <t xml:space="preserve">COMBUSTIBLES KER S.A.C. </t>
  </si>
  <si>
    <t xml:space="preserve">AV. FINLANDIA - LOS LUNAS N° 713 MZ. F LOTE 1 ZONA 6 </t>
  </si>
  <si>
    <t>C1:2000:GASOHOL 84 PLUS C2:2000:GASOHOL 97 PLUS </t>
  </si>
  <si>
    <t xml:space="preserve">KARIN BENAVIDES LOPEZ </t>
  </si>
  <si>
    <t>63634-056-191219</t>
  </si>
  <si>
    <t>AV. UNION JICAMARCA CON JR. LAS FLORES MZ. J LT. 23</t>
  </si>
  <si>
    <t>60754-056-100718</t>
  </si>
  <si>
    <t>OPERADORA FERNANDA S.A.C.</t>
  </si>
  <si>
    <t>MZ. B LOTES 1 Y 2 P.J. VILLA MARÍA (CARRETERA PANAMERICANA) ESQ. AV. BRASIL</t>
  </si>
  <si>
    <t>C1:2000:GASOHOL 95 PLUS C2:2000:GASOHOL 95 PLUS </t>
  </si>
  <si>
    <t>FRANK MILUTIN PUENTE DJUROVICH</t>
  </si>
  <si>
    <t>33372-056-230119</t>
  </si>
  <si>
    <t>ESTACION DE SERVICIOS PECOLINE S.R.L.</t>
  </si>
  <si>
    <t>INTERSECCION AV. CHICLAYO Y AV. BALTA, UPIS 1° DE MAYO</t>
  </si>
  <si>
    <t>NEIRA DE CORONEL LIDIA SUSANA</t>
  </si>
  <si>
    <t>98127-056-200319</t>
  </si>
  <si>
    <t xml:space="preserve">SANTA MARIA INVERSIONES GENERALES S.A.C. </t>
  </si>
  <si>
    <t>CARRETERA CENTRAL KM. 43.8 - SECTOR LA ESPERANZA - BARRIO MIRAFLORES</t>
  </si>
  <si>
    <t>C1:4000:GASOHOL 90 PLUS C2:2500:GASOHOL 84 PLUS C3:1500:GASOHOL 95 PLUS </t>
  </si>
  <si>
    <t>LUIS ALEJANDRO LEON MESTANZA</t>
  </si>
  <si>
    <t>14539-056-070316</t>
  </si>
  <si>
    <t>DIONICIA PUCHOC DE RIVERA</t>
  </si>
  <si>
    <t xml:space="preserve">AV. CASTILLA NRO. 1411 </t>
  </si>
  <si>
    <t>C1:8100:Diesel B5 S-50 </t>
  </si>
  <si>
    <t>C1:4050:GASOHOL 90 PLUS </t>
  </si>
  <si>
    <t>C1:4050:Diesel B5 S-50 </t>
  </si>
  <si>
    <t>C1:4050:GASOHOL 95 PLUS </t>
  </si>
  <si>
    <t>C1:3065:GASOHOL 97 PLUS </t>
  </si>
  <si>
    <t>8873-056-130520</t>
  </si>
  <si>
    <t>ESTACION DE SERVICIOS KIKE E.I.R.L.</t>
  </si>
  <si>
    <t>ZONA INDUSTRIAL MZ. C LOTE 7</t>
  </si>
  <si>
    <t>VALDIVIEZO SANTIN GILBERTO ENRIQUE</t>
  </si>
  <si>
    <t>9424-056-191119</t>
  </si>
  <si>
    <t>GRIFO DENNIS S.A.C.</t>
  </si>
  <si>
    <t>AV. TUPAC AMARU 10200 – 10202 (ALT. 18.5 KM. AV. TUPAC AMARU)</t>
  </si>
  <si>
    <t>ALFONSO JAVIER MARCELINO VELASQUEZ REINOSO</t>
  </si>
  <si>
    <t>84380-056-280620</t>
  </si>
  <si>
    <t>COMPAÑÍA OPERADORA DE LA SELVA S.A.</t>
  </si>
  <si>
    <t>AV. CENTENARIO Nº 488</t>
  </si>
  <si>
    <t>C1:3150:GASOLINA 90 C2:3150:GASOHOL 95 PLUS </t>
  </si>
  <si>
    <t>C1:6300:DIESEL B5 </t>
  </si>
  <si>
    <t>MARLY PATRICIA RENGIFO RIOS</t>
  </si>
  <si>
    <t>19903-056-070519</t>
  </si>
  <si>
    <t>NEGOCIACIONES M. PEREZ R. S.R.L.</t>
  </si>
  <si>
    <t>AV. PANAMERICANA SUR N° 2054</t>
  </si>
  <si>
    <t>FIDELMA CESARINA PEREZ CASACHAHUA</t>
  </si>
  <si>
    <t>17897-056-141219</t>
  </si>
  <si>
    <t>AV. LORETO N° 779</t>
  </si>
  <si>
    <t>41768-056-131119</t>
  </si>
  <si>
    <t>INVERSIONES KATIMILA E.I.R.L.</t>
  </si>
  <si>
    <t>AV. CENTENARIO KM. 4.150</t>
  </si>
  <si>
    <t>4650:GAS LICUADO DE PETROLEO </t>
  </si>
  <si>
    <t>EDGAR HENRRY ESPINOZA ORIHUELA</t>
  </si>
  <si>
    <t>8420-056-131219</t>
  </si>
  <si>
    <t>AV. PROGRESO Nº 1702</t>
  </si>
  <si>
    <t>105056-056-060520</t>
  </si>
  <si>
    <t>ESTACION DE SERVICIOS MI CARIÑITO EMPRESA INDIVIDUAL DE RESPONSABILIDAD LIMITADA</t>
  </si>
  <si>
    <t>CARRETERA FERNANDO BELAUNDE TERRY KM 441 CASERIO LA ESPERANZA</t>
  </si>
  <si>
    <t>NUEVA CAJAMARCA</t>
  </si>
  <si>
    <t>C1:4500:GASOLINA 90 </t>
  </si>
  <si>
    <t>C1:4500:GASOLINA 84 </t>
  </si>
  <si>
    <t>135999-056-091019</t>
  </si>
  <si>
    <t>ESTACIÓN DE SERVICIOS MANTARO E.I.R.L.</t>
  </si>
  <si>
    <t>CALLE REAL S/N BARRIO CHACLAS</t>
  </si>
  <si>
    <t>SAPALLANGA</t>
  </si>
  <si>
    <t>EDNA TAMBINI ROMERO</t>
  </si>
  <si>
    <t>139478-056-020720</t>
  </si>
  <si>
    <t xml:space="preserve">PRIMER OVALO N°100 (ANTES CHIU CHIU A. LOTE “B”) </t>
  </si>
  <si>
    <t>C1:6000:GASOHOL 90 PLUS C2:2000:GASOHOL 95 PLUS C3:2000:GASOHOL 98 PLUS </t>
  </si>
  <si>
    <t>138764-056-221018</t>
  </si>
  <si>
    <t>MEZA TORRES LUIS JOSE</t>
  </si>
  <si>
    <t>AV. ANDRES AVELINO CACERES S/N</t>
  </si>
  <si>
    <t>16664-056-240512</t>
  </si>
  <si>
    <t>GRIFOS SAGITARIO S.R.L.</t>
  </si>
  <si>
    <t>ESQ. CALLE ECHENIQUE Y FRANCISCO VIDAL N° 903</t>
  </si>
  <si>
    <t>C1:4000:GASOHOL 84 PLUS C2:4000:DIESEL B5 </t>
  </si>
  <si>
    <t>C1:4100:DIESEL B5 </t>
  </si>
  <si>
    <t>C1:4100:GASOHOL 95 PLUS </t>
  </si>
  <si>
    <t>CESAR GIOVANNI ZUCCHETTI CABALLERO</t>
  </si>
  <si>
    <t>9530-056-070317</t>
  </si>
  <si>
    <t>ANTIGUA CARRETERA PANAMERICANA SUR KM 51.8</t>
  </si>
  <si>
    <t>SAN BARTOLO</t>
  </si>
  <si>
    <t>C1:1610:GASOHOL 95 PLUS C2:1610:GASOHOL 97 PLUS </t>
  </si>
  <si>
    <t>C1:2247:GASOHOL 90 PLUS </t>
  </si>
  <si>
    <t>C1:2247:GASOHOL 84 PLUS </t>
  </si>
  <si>
    <t>JOSE GREGORIO QUEZADA PAREDES</t>
  </si>
  <si>
    <t>138569-056-290119</t>
  </si>
  <si>
    <t>GRIFO GOLD POINT S.A.C.</t>
  </si>
  <si>
    <t>MZ. A LOTE 4, 5, 6 Y 7 SECTOR SAN PEDRO AV. DOS DE MAYO S/N</t>
  </si>
  <si>
    <t>C1:1000:GASOHOL 84 PLUS C2:2000:GASOHOL 90 PLUS </t>
  </si>
  <si>
    <t xml:space="preserve">CESAR COLINA </t>
  </si>
  <si>
    <t>31899-056-100418</t>
  </si>
  <si>
    <t>DELTA LOS PORTALES EIRL</t>
  </si>
  <si>
    <t>AV. INTER REGIONAL HUANUCO - PUCALLPA Nº 1200</t>
  </si>
  <si>
    <t>C1:3290:GASOHOL 97 PLUS C2:3290:GASOHOL 84 PLUS </t>
  </si>
  <si>
    <t>C1:6580:GASOHOL 90 PLUS </t>
  </si>
  <si>
    <t>C1:6580:Diesel B5 S-50 </t>
  </si>
  <si>
    <t>18597-056-250718</t>
  </si>
  <si>
    <t>COMBUSTIBLES CALIMAX E.I.R.L.</t>
  </si>
  <si>
    <t>JR. LORETO N° 1047</t>
  </si>
  <si>
    <t>ARROYO ALIAGA RODOLFO FRANCISCO</t>
  </si>
  <si>
    <t>8811-056-170920</t>
  </si>
  <si>
    <t>JEVARO S.A.C.</t>
  </si>
  <si>
    <t>AV. 200 MILLAS ESQ. CON AV. MICAELA BASTIDAS, MZ. C5, LOTE 12, GRUPO RESIDENCIAL 31 SECTOR 3</t>
  </si>
  <si>
    <t>C1:2000:GASOHOL 90 PLUS C2:2000:GASOHOL 90 PLUS C3:2000:GASOHOL 97 PLUS </t>
  </si>
  <si>
    <t>GINO EDUARDO ENRIQUEZ TORRES</t>
  </si>
  <si>
    <t>8157-056-200816</t>
  </si>
  <si>
    <t>SERVICENTRO UNIVERSAL S.R.L.</t>
  </si>
  <si>
    <t>AV. SANTIAGO DE CHUCO N° 501 ESQUINA CON AV. APURIMAC – COOPERATIVA UNIVERSAL</t>
  </si>
  <si>
    <t>C1:7500:GASOHOL 95 PLUS C2:3000:GASOHOL 98 PLUS </t>
  </si>
  <si>
    <t>C1:3500:GASOHOL 84 PLUS C2:7000:GASOHOL 90 PLUS </t>
  </si>
  <si>
    <t>LUIS ALBERTO ALIAGA CARRASCO</t>
  </si>
  <si>
    <t>130689-056-270719</t>
  </si>
  <si>
    <t>FUNDO SAN ANDRES N° UN 083138 URB. SAN ANDRES V ETAPA</t>
  </si>
  <si>
    <t>6975-056-240717</t>
  </si>
  <si>
    <t>PANAMERICANA SUR KM. 201.5</t>
  </si>
  <si>
    <t>ALTO LARAN</t>
  </si>
  <si>
    <t>132703-056-151117</t>
  </si>
  <si>
    <t>GRIFO JJAV E.I.R.L.</t>
  </si>
  <si>
    <t>SUB LOTE B DEL PREDIO ROSA FRANCISCA - VALLE MOTUPE OLMOS</t>
  </si>
  <si>
    <t>18435-056-150719</t>
  </si>
  <si>
    <t>GRIFO SAN PEDRO E.I.R.L.</t>
  </si>
  <si>
    <t>JR. FREDY ALIAGA N° 2351</t>
  </si>
  <si>
    <t>C1:5500:SIN PRODUCTO </t>
  </si>
  <si>
    <t>FELICIANO HIPOLITO MOLINA BALBIN</t>
  </si>
  <si>
    <t>133099-056-090318</t>
  </si>
  <si>
    <t xml:space="preserve">INDUSTRIA METALMECANICA BILCON S.A.C. </t>
  </si>
  <si>
    <t xml:space="preserve">AV. JOSÉ CARLOS MARIATEGUI N° 1184-1292 </t>
  </si>
  <si>
    <t>C1:1500:GASOHOL 98 PLUS C2:1500:GASOHOL 95 PLUS C3:2000:GASOHOL 90 PLUS </t>
  </si>
  <si>
    <t>108881-056-101219</t>
  </si>
  <si>
    <t xml:space="preserve">CARRETERA CENTRAL KM 7.6 </t>
  </si>
  <si>
    <t>C1:4000:GASOHOL 90 PLUS C2:2000:GASOHOL 84 PLUS C3:2000:GASOHOL 95 PLUS </t>
  </si>
  <si>
    <t>111102-056-120916</t>
  </si>
  <si>
    <t>SANTA BARBARITA S/N - SECTOR LA HUACA</t>
  </si>
  <si>
    <t>C1:4150:DIESEL B5,Diesel B5 S-50 </t>
  </si>
  <si>
    <t>C1:4110:DIESEL B5,Diesel B5 S-50 </t>
  </si>
  <si>
    <t>C1:3790:GASOHOL 84 PLUS </t>
  </si>
  <si>
    <t>C1:2130:GASOHOL 90 PLUS </t>
  </si>
  <si>
    <t>C1:2140:GASOHOL 95 PLUS </t>
  </si>
  <si>
    <t>9562-056-060520</t>
  </si>
  <si>
    <t>ESQUINA PROLONGACIÓN GRAU CON JIRÓN LAS LOMAS</t>
  </si>
  <si>
    <t>82564-056-220120</t>
  </si>
  <si>
    <t>GRIFO BARRANCA VIP S.A.C.</t>
  </si>
  <si>
    <t>AV. DOMINGO MANDAMIENTO N° 1098 CON AV. CRUZ BLANCA</t>
  </si>
  <si>
    <t>DINA ZENOBIA EUSTAQUIO GUARDIA</t>
  </si>
  <si>
    <t>9569-056-180719</t>
  </si>
  <si>
    <t>CHARACATO SUPER GRIFO S.A.C.</t>
  </si>
  <si>
    <t>JR. FREDY ALIAGA N° 1135</t>
  </si>
  <si>
    <t>C1:4000:GASOLINA 84 C2:2500:GASOLINA 95 </t>
  </si>
  <si>
    <t>C1:6500:GASOLINA 90 </t>
  </si>
  <si>
    <t>EMERSON GUSTAVO RIVERA SHUPINGAHUA</t>
  </si>
  <si>
    <t>7207-056-100120</t>
  </si>
  <si>
    <t>ESTACION DE SERVICIOS LAS ABEJAS S.A.C.</t>
  </si>
  <si>
    <t>CARRETERA PANAMERICANA NORTE KM. 558 CALLE CARLOS DE LOS HEROS N° 374 SECTOR SUB RAMAL PREDIO LOS TALLOS</t>
  </si>
  <si>
    <t>WAGNER RICARDO DOMINGUEZ MENDIETA</t>
  </si>
  <si>
    <t>114591-056-190416</t>
  </si>
  <si>
    <t xml:space="preserve">MIGUEL ANGEL PACHECO HERBOZO </t>
  </si>
  <si>
    <t>SECTOR HUARANGAL CHICO, UC 09063, CARRETERA PANAMERICA NORTE</t>
  </si>
  <si>
    <t>MIGUEL ANGEL PACHECO HERBOZO</t>
  </si>
  <si>
    <t>142783-056-170519</t>
  </si>
  <si>
    <t xml:space="preserve">COMPAÑIA COMERCIALIZADORA Y REPRESENTACIONES S.A. </t>
  </si>
  <si>
    <t>CALLE SANTA LUISA LOTE 3 URB. ROSELL PARODI</t>
  </si>
  <si>
    <t>C1:9991:Diesel B5 S-50 </t>
  </si>
  <si>
    <t>C1:10002:Diesel B5 S-50 </t>
  </si>
  <si>
    <t>C1:6649:GASOHOL 90 PLUS </t>
  </si>
  <si>
    <t>C1:3319:GASOHOL 95 PLUS </t>
  </si>
  <si>
    <t>DALILA ESTHER LAVADO DE RAMIREZ</t>
  </si>
  <si>
    <t>61799-056-220718</t>
  </si>
  <si>
    <t>AV. PANAMERICANA SUR N° 209</t>
  </si>
  <si>
    <t>111583-056-090919</t>
  </si>
  <si>
    <t>ESTACION DE SERVICIOS GASOCENTRO SAN MIGUEL DE ARCANGEL E.I.R.L.</t>
  </si>
  <si>
    <t>CARRETERA MARGINAL INTERSECCION CON LA AV. BUENAVENTURA</t>
  </si>
  <si>
    <t>C1:5133:Diesel B5 S-50 </t>
  </si>
  <si>
    <t>C1:2107:GASOHOL 84 PLUS C2:3117:GASOHOL 90 PLUS </t>
  </si>
  <si>
    <t>KELY MELISSA ALIAGA REZZA</t>
  </si>
  <si>
    <t>131229-056-040520</t>
  </si>
  <si>
    <t>PESQUERA SUPERMAR S.A.C.</t>
  </si>
  <si>
    <t>AV. PANAMERICANA ESQUINA CON AV. JOSE DE LAMA Y CALLE DEL CARMEN MZ. 119 LOTE 09 URB. SANTA ROSA</t>
  </si>
  <si>
    <t>C1:4850:GASOHOL 90 PLUS </t>
  </si>
  <si>
    <t>C1:4850:GASOHOL 95 PLUS </t>
  </si>
  <si>
    <t>C1:4850:GASOHOL 97 PLUS </t>
  </si>
  <si>
    <t>RAFFO CONSIGLI PAOLO</t>
  </si>
  <si>
    <t>44109-056-010216</t>
  </si>
  <si>
    <t>INTERSECCION AV. MIRAFLORES Nº 1703-1711-1743-1749-1759 CON AV. FEDERICO VILLAREAL NORTE Nº 800-808-840</t>
  </si>
  <si>
    <t>C1:3000:DIESEL B5 C2:3000:GASOHOL 90 PLUS </t>
  </si>
  <si>
    <t>84210-056-170520</t>
  </si>
  <si>
    <t>ECONOGAS S.R.L.</t>
  </si>
  <si>
    <t>MZ. O SUB LOTE C II ZONA INDUSTRIAL</t>
  </si>
  <si>
    <t>CARDENAS ALZA JULIO MIGUEL</t>
  </si>
  <si>
    <t>8871-056-040520</t>
  </si>
  <si>
    <t>GRUPO REGA SERVICIOS S.A.C.</t>
  </si>
  <si>
    <t>AV. BUENOS AIRES Nº 425</t>
  </si>
  <si>
    <t>C1:3200:GASOHOL 84 PLUS </t>
  </si>
  <si>
    <t>C1:1090:GASOHOL 95 PLUS </t>
  </si>
  <si>
    <t>ELESPURU SAAVEDRA VICTOR SEGUNDO</t>
  </si>
  <si>
    <t>92163-056-030220</t>
  </si>
  <si>
    <t>ESTACION DE SERVICIOS GIANELLA E.I.R.L.</t>
  </si>
  <si>
    <t>CARRETERA A MONZÓN, KM. 4.5, SECTOR JACINTILLO</t>
  </si>
  <si>
    <t>148527-056-080120</t>
  </si>
  <si>
    <t>INVERSIONES MIGUEL ANGELO E.I.R.L.</t>
  </si>
  <si>
    <t>CARRETERA CHICLAYO- FERREÑAFE KM 05 SECTOR QUEFE</t>
  </si>
  <si>
    <t xml:space="preserve">YOVANA FRIAS CONTRERAS </t>
  </si>
  <si>
    <t>146763-056-040820</t>
  </si>
  <si>
    <t>MEGA ESTACION DE SERVICIOS INVERSOL S.A.</t>
  </si>
  <si>
    <t>CARRETERA LIMA-CANTA, KM. 40, ZAPAN P-14, PROYECTO TAHUANTINSUYO</t>
  </si>
  <si>
    <t>CANTA</t>
  </si>
  <si>
    <t>SANTA ROSA DE QUIVES</t>
  </si>
  <si>
    <t>MIGUEL DELFIN GAMEZ OROÑA</t>
  </si>
  <si>
    <t>132801-056-080719</t>
  </si>
  <si>
    <t>GRIFO EL RUISEÑOR E.I.R.L.</t>
  </si>
  <si>
    <t>AUTOPISTA PATIVILCA – HUARAZ, VALLE FORTALEZA, PREDIO LA ESPERANZA, SECTOR SHAURA</t>
  </si>
  <si>
    <t>PARAMONGA</t>
  </si>
  <si>
    <t>C1:6000:GASOHOL 90 PLUS C2:4000:GASOHOL 95 PLUS </t>
  </si>
  <si>
    <t>ERLI TEODULFO RUIZ HUAMANI</t>
  </si>
  <si>
    <t>19910-056-070316</t>
  </si>
  <si>
    <t>GRIFO VELAZCO S.A.C.</t>
  </si>
  <si>
    <t>AV. HUASCAR Nº 2309</t>
  </si>
  <si>
    <t>C1:1800:Diesel B5 S-50 </t>
  </si>
  <si>
    <t>MARTA AMERICA PECHO VIVANCO</t>
  </si>
  <si>
    <t>9099-056-211019</t>
  </si>
  <si>
    <t>ESTACION DON FERNANDO S.A.C.</t>
  </si>
  <si>
    <t>CARRETERA PANAMERICANA NORTE KM. 570 CENTRO POBLADO EL MILAGRO</t>
  </si>
  <si>
    <t>C1:3200:Diesel B5 S-50 </t>
  </si>
  <si>
    <t>C1:1700:Diesel B5 S-50 </t>
  </si>
  <si>
    <t>C1:1700:GASOHOL 90 PLUS </t>
  </si>
  <si>
    <t>C1:850:GASOHOL 90 PLUS C2:850:GASOHOL 95 PLUS </t>
  </si>
  <si>
    <t>MARCO ANTONIO VASQUEZ WONG</t>
  </si>
  <si>
    <t>114837-056-080515</t>
  </si>
  <si>
    <t>GASOCENTRO SICAN S.A.C.</t>
  </si>
  <si>
    <t>AV. BATANGRANDE N° 355 – MZ 11, LOTE 01, DEL PIUV – HECTOR AURICH SOTO</t>
  </si>
  <si>
    <t>C1:2500:GASOHOL 84 PLUS C2:3500:GASOHOL 90 PLUS </t>
  </si>
  <si>
    <t>HENRY CESAR RODAS REGALADO</t>
  </si>
  <si>
    <t>45716-056-140720</t>
  </si>
  <si>
    <t>SERVICENTRO ORTEGA E.I.R.L.</t>
  </si>
  <si>
    <t>INTERSECCION DE LA CARRETERA MAZAMARI - PUERTO OCOPA Y SAN MARTIN DE PANGOA</t>
  </si>
  <si>
    <t>C1:8185:GASOHOL 90 PLUS </t>
  </si>
  <si>
    <t>C1:8185:Diesel B5 S-50 </t>
  </si>
  <si>
    <t>C1:4000:Diesel B5 S-50 C2:2000:GASOHOL 84 PLUS C3:2000:GASOHOL 90 PLUS </t>
  </si>
  <si>
    <t>ALBERTO FLORENCIO ORTEGA DE LA CRUZ</t>
  </si>
  <si>
    <t>113104-056-210520</t>
  </si>
  <si>
    <t>SERVICENTRO ESPERANZA E.I.R.L.</t>
  </si>
  <si>
    <t>CARRETERA FERNANDO BELAUNDE TERRY KM 454 - CASERIO LA ESPERANZA</t>
  </si>
  <si>
    <t>C1:5200:GASOLINA 84 C2:2700:GASOLINA 90 </t>
  </si>
  <si>
    <t>8676-056-300717</t>
  </si>
  <si>
    <t>CORPORACION PETROGAS E.I.R.L.</t>
  </si>
  <si>
    <t>CARRETERA PANAMERICANA NORTE KM. 835</t>
  </si>
  <si>
    <t>C1:1700:GASOHOL 90 PLUS C2:1700:GASOHOL 84 PLUS </t>
  </si>
  <si>
    <t>134866-056-090318</t>
  </si>
  <si>
    <t>SERVICENTRO LAS AMÉRICAS S.A.C.</t>
  </si>
  <si>
    <t>CARRETERA PANAMERICANA SUR KM 180-181</t>
  </si>
  <si>
    <t>CRISTOBAL ROSAS DULANTO</t>
  </si>
  <si>
    <t>16725-056-240818</t>
  </si>
  <si>
    <t>ESTACION DE SERVICIOS MAYORAZGO S.A.</t>
  </si>
  <si>
    <t>AV. PROLONGACION JAVIER PRADO ESQ. CON LA AV. B, URB. LOS PORTALES DE JAVIER PRADO</t>
  </si>
  <si>
    <t>C1:2000:GASOHOL 95 PLUS C2:2000:GASOHOL 84 PLUS C3:4000:GASOHOL 90 PLUS </t>
  </si>
  <si>
    <t>C1:5000:Diesel B5 S-50 C2:3000:GASOHOL 97 PLUS </t>
  </si>
  <si>
    <t>BENJAMIN ROSALES NUÑEZ</t>
  </si>
  <si>
    <t>15732-056-250620</t>
  </si>
  <si>
    <t>ESTACIÓN BOLOGNESI S.R.L.</t>
  </si>
  <si>
    <t>INTERSECCION AV. BOLOGNESI 160 Y CALLE LIBERTAD</t>
  </si>
  <si>
    <t>21205-056-131219</t>
  </si>
  <si>
    <t>G CELESTE S.A.C.</t>
  </si>
  <si>
    <t>CARRETERA PANAMERICANA NORTE KM. 87.5</t>
  </si>
  <si>
    <t>C1:3500:GASOHOL 90 PLUS C2:3500:GASOHOL 95 PLUS C3:3000:GASOHOL 97 PLUS </t>
  </si>
  <si>
    <t>C1:2000:Diesel B5 S-50 C2:8000:Diesel B5 S-50 </t>
  </si>
  <si>
    <t>ROSA TERESA ASTE VALERA</t>
  </si>
  <si>
    <t>128791-056-200720</t>
  </si>
  <si>
    <t>CELENE CELY ESPIRITU PAEZ</t>
  </si>
  <si>
    <t>CALLE JUNIN ESQUINA CON CALLE MENCORI</t>
  </si>
  <si>
    <t>RIO TAMBO</t>
  </si>
  <si>
    <t>6743-056-180118</t>
  </si>
  <si>
    <t>AV. CESAR CANEVARO Nº 1598</t>
  </si>
  <si>
    <t>LINCE</t>
  </si>
  <si>
    <t>C1:7925:Diesel B5 S-50 </t>
  </si>
  <si>
    <t>C1:7925:GASOHOL 90 PLUS </t>
  </si>
  <si>
    <t>C1:7925:GASOHOL 97 PLUS </t>
  </si>
  <si>
    <t>C1:7925:GASOHOL 95 PLUS </t>
  </si>
  <si>
    <t>18570-056-101219</t>
  </si>
  <si>
    <t>AV. FERMIN TANGUIS, MZ. C, LOTE 1, ESQ. CON CALLE 5</t>
  </si>
  <si>
    <t>109859-056-021014</t>
  </si>
  <si>
    <t>ISRAEL CHUQUILLANQUI ALIAGA</t>
  </si>
  <si>
    <t>AV. CIRCUNVALACION N° 1412</t>
  </si>
  <si>
    <t>150633-056-200820</t>
  </si>
  <si>
    <t>CARRETERA PANAMERICANA NORTE KM 180.100</t>
  </si>
  <si>
    <t>7512-056-190817</t>
  </si>
  <si>
    <t>AV. AMERICA SUR Nº 2677 - 2685 URB. LA PERLA</t>
  </si>
  <si>
    <t>C1:4000:DIESEL B5,Diesel B5 S-50 C2:4000:DIESEL B5,Diesel B5 S-50 </t>
  </si>
  <si>
    <t xml:space="preserve">JOSÉ ANTONIO GALDOS ZUÑIGA </t>
  </si>
  <si>
    <t>9620-056-110419</t>
  </si>
  <si>
    <t>AV. JOSE BALTA Nº 3000 ESQUINA CALLE SANTA MARTHA.</t>
  </si>
  <si>
    <t>C1:2397:SIN PRODUCTO </t>
  </si>
  <si>
    <t>C1:2397:Diesel B5 S-50 </t>
  </si>
  <si>
    <t>C1:2397:GASOHOL 84 PLUS </t>
  </si>
  <si>
    <t>C1:2397:GASOHOL 90 PLUS </t>
  </si>
  <si>
    <t>18561-056-030520</t>
  </si>
  <si>
    <t>ESTACIÓN DE SERVICIO Y GASOCENTRO MIRAFLORES S.R.L.</t>
  </si>
  <si>
    <t>CARRETERA PANAMERICANA SUR KM. 1 - URB. MIRAFLORES</t>
  </si>
  <si>
    <t>C1:4560:GASOHOL 90 PLUS </t>
  </si>
  <si>
    <t>C1:2800:GASOHOL 95 PLUS </t>
  </si>
  <si>
    <t>90469-056-260918</t>
  </si>
  <si>
    <t>ESTACION DE SERVICIOS SACRAMENTO E.I.R.L.</t>
  </si>
  <si>
    <t>CARRETERA PANAMERICANA SUR KM. 398.5, CASERIO SACRAMENTO</t>
  </si>
  <si>
    <t>CARLOS ANDRES MUÑOZ PEÑA</t>
  </si>
  <si>
    <t>8009-056-121219</t>
  </si>
  <si>
    <t>AV. PASEO DE LA REPUBLICA N° 5790-5798</t>
  </si>
  <si>
    <t>37657-056-100417</t>
  </si>
  <si>
    <t>CARRETERA CENTRAL KM 114-CENTRO POBLADO VAQUERIA</t>
  </si>
  <si>
    <t>C1:2000:Diesel B5 S-50 C2:1500:GASOHOL 90 PLUS C3:1000:GASOHOL 95 PLUS </t>
  </si>
  <si>
    <t>41487-056-161219</t>
  </si>
  <si>
    <t>INTERSECCION DE LA AV. UNIVERSITARIA Y AV. ANGELICA GAMARRA (LT. 01-B), URB. SANTO TOMAS DE GARAGAY</t>
  </si>
  <si>
    <t>25000:GAS LICUADO DE PETROLEO </t>
  </si>
  <si>
    <t>41519-056-260618</t>
  </si>
  <si>
    <t xml:space="preserve">GRIFOS MONTERREY S.C.R.L. </t>
  </si>
  <si>
    <t>CARRETERA CENTRAL HUARAZ - CARAZ S/N MZ.B LOTE 21 ZONA INDUSTRIAL</t>
  </si>
  <si>
    <t>YUNGAY</t>
  </si>
  <si>
    <t>C1:3014:GASOHOL 97 PLUS C2:3029:GASOHOL 95 PLUS </t>
  </si>
  <si>
    <t>C1:7024:Diesel B5 S-50 </t>
  </si>
  <si>
    <t>C1:3050:GASOHOL 90 PLUS C2:3010:Diesel B5 S-50 </t>
  </si>
  <si>
    <t>125961-056-030220</t>
  </si>
  <si>
    <t>INVERSIONES SIGÜENZA AGUILAR S.A.C. – INVERSIA S.A.C.</t>
  </si>
  <si>
    <t>CARRETERA CAJAMARCA - BAÑOS DEL INCA KM 5.2</t>
  </si>
  <si>
    <t>LOS BAÑOS DEL INCA</t>
  </si>
  <si>
    <t>C1:5000:GASOHOL 90 PLUS C2:3000:GASOHOL 95 PLUS </t>
  </si>
  <si>
    <t>PEDRO CECILIO SIGÜENZA MARQUINA</t>
  </si>
  <si>
    <t>127219-056-140817</t>
  </si>
  <si>
    <t>ESTACION DE SERVICIOS LOS PINOS DEL NORTE S.R.L.</t>
  </si>
  <si>
    <t>SECTOR PINGOBAMBA BAJO CARRETERA CHOTA - CHICLAYO</t>
  </si>
  <si>
    <t>CHOTA</t>
  </si>
  <si>
    <t>C1:2000:GASOHOL 95 PLUS C2:1000:GASOHOL 84 PLUS </t>
  </si>
  <si>
    <t>118133-056-260916</t>
  </si>
  <si>
    <t>INVERSIONES GALVEZ S.A.C.</t>
  </si>
  <si>
    <t>VIA DE EVITAMIENTO S/N PREDIO VALDIVIA, LT. UC-D-03, UC-D-04, UC-D-05 Y UC-D-06 SECTOR VALDIVIA</t>
  </si>
  <si>
    <t>C1:6500:DIESEL B5 </t>
  </si>
  <si>
    <t xml:space="preserve">SONIA ELIZABETH GALVEZ ALVA </t>
  </si>
  <si>
    <t>20130-056-021018</t>
  </si>
  <si>
    <t>GRIFO VALCARD S.R.L.</t>
  </si>
  <si>
    <t>AV. SANTA ROSA DE LIMA Nº 2091 - URB. LA HUAYRONA</t>
  </si>
  <si>
    <t>C1:4000:SIN PRODUCTO C2:4000:GASOHOL 95 PLUS </t>
  </si>
  <si>
    <t>ROLANDO WALTER VALVERDE CARDENAS</t>
  </si>
  <si>
    <t>108234-056-310318</t>
  </si>
  <si>
    <t>ESTACION DE SERVICIO CESAR EMPRESA INDIVIDUAL DE RESPONSABILIDAD LIMITADA</t>
  </si>
  <si>
    <t>CARRETERA AMBO- YANAHUANCA KM 6.5 JUNTA VECINAL INGENIO ALTO</t>
  </si>
  <si>
    <t>HUACAR</t>
  </si>
  <si>
    <t>C1:2000:DIESEL B5 </t>
  </si>
  <si>
    <t>112021-056-160718</t>
  </si>
  <si>
    <t>EMPRESA DE SERVICIOS MULTIPLES MI LIZ E.I.R.L.</t>
  </si>
  <si>
    <t>JR.MILTON CORDOVA LA TORRE S/N LOTE 224890, SECTOR HUALLHUAYOC</t>
  </si>
  <si>
    <t>HUANTA</t>
  </si>
  <si>
    <t>C1:2500:GASOHOL 90 PLUS C2:2000:GASOHOL 95 PLUS C3:2000:GASOHOL 90 PLUS </t>
  </si>
  <si>
    <t>DORIS CARDENAS RAMOS</t>
  </si>
  <si>
    <t>9587-056-310816</t>
  </si>
  <si>
    <t>AV. VICTOR RAUL HAYA DE LA TORRE N° 539</t>
  </si>
  <si>
    <t>C1:1500:GASOHOL 98 PLUS C2:1500:GASOHOL 95 PLUS </t>
  </si>
  <si>
    <t>8405-056-170417</t>
  </si>
  <si>
    <t>CORPORACION PETROTRADING S.A.C.</t>
  </si>
  <si>
    <t>AV. ALFONSO UGARTE N° 552-560, SECTOR TINGO CHICO</t>
  </si>
  <si>
    <t xml:space="preserve">RAUL GUTIERREZ TEVES </t>
  </si>
  <si>
    <t>8526-056-120916</t>
  </si>
  <si>
    <t>CARRETERA PANAMERICANA NORTE KM. 696.5</t>
  </si>
  <si>
    <t>C1:6000:DIESEL B5,SIN PRODUCTO </t>
  </si>
  <si>
    <t>9471-056-020620</t>
  </si>
  <si>
    <t>GRIFO LOS TUMPIS S.A.C.</t>
  </si>
  <si>
    <t>AV. UNIVERSITARIA Nº 672 AA.HH. PAMPA GRANDE</t>
  </si>
  <si>
    <t>ALEMAN CORONEL JAVIER</t>
  </si>
  <si>
    <t>18564-056-260919</t>
  </si>
  <si>
    <t>EMPRESA SANTO TORIBIO S.A.C.</t>
  </si>
  <si>
    <t>AV. AMERICA SUR N° 360 ESQUINA CON AV. VALLEJO N° 1189 URB. ARANJUEZ</t>
  </si>
  <si>
    <t>C1:4700:GASOHOL 97 PLUS </t>
  </si>
  <si>
    <t>C1:6700:GASOHOL 95 PLUS </t>
  </si>
  <si>
    <t>C1:4900:Diesel B5 S-50 </t>
  </si>
  <si>
    <t>C1:3800:GASOHOL 90 PLUS </t>
  </si>
  <si>
    <t>9069-056-160818</t>
  </si>
  <si>
    <t>CARRETERA PANAMERICANA SUR KM. 229.3 SECTOR P.J. SAN MIGUEL</t>
  </si>
  <si>
    <t>C1:6000:Diesel B5 S-50 C2:6000:Diesel B5 S-50 </t>
  </si>
  <si>
    <t>17949-056-121020</t>
  </si>
  <si>
    <t>ASIA GRIFOS Y SERVICIOS GENERALES S.A.C. - AGRISER S.A.C.</t>
  </si>
  <si>
    <t>AV. PUENTE PIEDRA N° 1218 KM.32 PANAMERICANA NORTE</t>
  </si>
  <si>
    <t>MARIA ERICA ELIZABETH CANITROT RODRIGUEZ</t>
  </si>
  <si>
    <t>82247-056-221117</t>
  </si>
  <si>
    <t>MARILUZ MAGDALENA CLEMENTE ORTIZ</t>
  </si>
  <si>
    <t>CARRETERA CENTRAL KM. 16. BARRIO DOS DE MAYO</t>
  </si>
  <si>
    <t>SAN JERONIMO DE TUNAN</t>
  </si>
  <si>
    <t>C3:1000:GASOHOL 97 PLUS </t>
  </si>
  <si>
    <t>C1:2000:GASOHOL 84 PLUS C2:1000:GASOHOL 90 PLUS </t>
  </si>
  <si>
    <t>89213-056-270416</t>
  </si>
  <si>
    <t>CORPORACIÓN VILLAVICENCIO S.A.C.</t>
  </si>
  <si>
    <t>AV. MIGUEL GRAU, SUB LOTE 28-B, URB. SANTA CLARA</t>
  </si>
  <si>
    <t>BRADIO VELHELMO VILLAVICENCIO CIERTO</t>
  </si>
  <si>
    <t>7111-056-260519</t>
  </si>
  <si>
    <t>COMERCIALIZADORA DE COMBUSTIBLE DELTA E.I.R.L.</t>
  </si>
  <si>
    <t>AV. UNIVERSITARIA N 1510 - CAYHUAYNA</t>
  </si>
  <si>
    <t>35025-056-161216</t>
  </si>
  <si>
    <t>REPRESENTACIONES CASASI S.A.</t>
  </si>
  <si>
    <t>ESQUINA AV. EL POLO Y AV. RAUL FERRERO (CLUB GOLF LOS INCAS N° 493 MZ. C LT. 13)</t>
  </si>
  <si>
    <t xml:space="preserve">RICARDO AÑORGA ZAMUDIO </t>
  </si>
  <si>
    <t>96937-056-140612</t>
  </si>
  <si>
    <t xml:space="preserve">ESTACION DE SERVICIOS MONTE EVEREST S.A.C. </t>
  </si>
  <si>
    <t xml:space="preserve">AV. GERARDO SOTELO Nº 490 </t>
  </si>
  <si>
    <t>C1:3150:GASOHOL 84 PLUS </t>
  </si>
  <si>
    <t>C1:2800:GASOHOL 90 PLUS </t>
  </si>
  <si>
    <t>C1:1790:GASOHOL 95 PLUS </t>
  </si>
  <si>
    <t>C1:3450:DIESEL B5 </t>
  </si>
  <si>
    <t>141401-056-210219</t>
  </si>
  <si>
    <t>JHON LENNON CASALLO LOZANO</t>
  </si>
  <si>
    <t>JR. LOS GUINDALES Y AV. LOS HEROES N° 1173</t>
  </si>
  <si>
    <t>HUAMANCACA CHICO</t>
  </si>
  <si>
    <t>92006-056-170518</t>
  </si>
  <si>
    <t>INES FLORA SEDANO CASTAÑEDA</t>
  </si>
  <si>
    <t>JR. PROGRESO S/N ANEXO DE SAN ISIDRO</t>
  </si>
  <si>
    <t>TRES DE DICIEMBRE</t>
  </si>
  <si>
    <t>C1:1000:GASOHOL 95 PLUS C2:4500:Diesel B5 S-50 C3:1000:GASOHOL 90 PLUS </t>
  </si>
  <si>
    <t>121521-056-310816</t>
  </si>
  <si>
    <t>PREDIO RURAL SANTA TERESA VALLE SAÑA-SECTOR ADELINA COD. PREDIO 7-6559235-18689</t>
  </si>
  <si>
    <t>CAYALTI</t>
  </si>
  <si>
    <t>113616-056-250215</t>
  </si>
  <si>
    <t>GRIFO CRYSMAR S.A.C.</t>
  </si>
  <si>
    <t>CARRETERA PANAMERICANA NORTE KM. 757 + 500</t>
  </si>
  <si>
    <t>REQUE</t>
  </si>
  <si>
    <t>ORESTERES VICTORIANO ARAUJO ARAUJO</t>
  </si>
  <si>
    <t>9645-056-050117</t>
  </si>
  <si>
    <t>CARRETERA PANAMERICANA NORTE KM. 378.400</t>
  </si>
  <si>
    <t>C1:4500:GASOHOL 90 PLUS C2:3500:GASOHOL 95 PLUS </t>
  </si>
  <si>
    <t>C1:3500:GASOHOL 84 PLUS C2:3500:GASOHOL 97 PLUS </t>
  </si>
  <si>
    <t>19957-056-180216</t>
  </si>
  <si>
    <t>EXPLORIUM S.A.C.</t>
  </si>
  <si>
    <t>AV. VENEZUELA N° 1829 INTERSECCION AV. TINGO MARIA</t>
  </si>
  <si>
    <t>C1:4000:SIN PRODUCTO C2:4000:Diesel B5 S-50 </t>
  </si>
  <si>
    <t>VICTOR HUMBERTO ROMERO ALCANTARA</t>
  </si>
  <si>
    <t>125909-056-030619</t>
  </si>
  <si>
    <t>MULTISERVICIOS LUCHINS E.I.R.L.</t>
  </si>
  <si>
    <t>CARRETERA PANAMERICANA NORTE SUB LOTE D UC 120645 SECTOR LA MINKA</t>
  </si>
  <si>
    <t>ORIANA MERLY SILVA CRUZ</t>
  </si>
  <si>
    <t>39576-056-070519</t>
  </si>
  <si>
    <t>ESTACION DE COMBUSTIBLES EL SOL S.A.C.</t>
  </si>
  <si>
    <t>ESQ. AV. SAN CARLOS S/N CON CALLE SUCRE</t>
  </si>
  <si>
    <t>C1:4000:GASOHOL 90 PLUS C2:2000:GASOHOL 98 PLUS C3:2000:GASOHOL 95 PLUS </t>
  </si>
  <si>
    <t>MERCEDES SILVIA TAYPE OLIVARES</t>
  </si>
  <si>
    <t>89764-056-221019</t>
  </si>
  <si>
    <t>SERVICENTRO PRIMAVERA S.R.L.</t>
  </si>
  <si>
    <t xml:space="preserve">ESQUINA DE VIA DE EVITAMIENTO SUR Y JIRON SAN JUAN DE DIOS S/N BARRIO SAN MARTIN DE PORRES, SECTOR Nº 10 </t>
  </si>
  <si>
    <t>C1:2864:GASOHOL 95 PLUS </t>
  </si>
  <si>
    <t>C1:2864:GASOHOL 97 PLUS </t>
  </si>
  <si>
    <t>C1:2097:GASOHOL 84 PLUS </t>
  </si>
  <si>
    <t>CELSO ALDO ABANTO SARMIENTO</t>
  </si>
  <si>
    <t>113852-056-141216</t>
  </si>
  <si>
    <t>ROXANA ZEVALLOS AVILA</t>
  </si>
  <si>
    <t>PARCELA 58 DEL PREDIO ANDABAMBA</t>
  </si>
  <si>
    <t>83023-056-280620</t>
  </si>
  <si>
    <t>AV. TUPAC AMARU MZ.C LOTE 08 - AA.HH. SANTA PETRONILA</t>
  </si>
  <si>
    <t>MANANTAY</t>
  </si>
  <si>
    <t>C1:3000:GASOLINA 90 C2:3000:GASOLINA 90 </t>
  </si>
  <si>
    <t>7921-056-071116</t>
  </si>
  <si>
    <t>AV. INDUSTRIAL N° 260 Y CALLE BRASIL N° 1315</t>
  </si>
  <si>
    <t>C1:5200:GASOHOL 98 PLUS </t>
  </si>
  <si>
    <t>9089-056-260418</t>
  </si>
  <si>
    <t>AV. HUANCAVELICA Nº 216</t>
  </si>
  <si>
    <t>C1:3348:Diesel B5 S-50 </t>
  </si>
  <si>
    <t>C1:3982:GASOHOL 95 PLUS </t>
  </si>
  <si>
    <t>C1:6630:GASOHOL 90 PLUS </t>
  </si>
  <si>
    <t>C1:3348:GASOHOL 97 PLUS </t>
  </si>
  <si>
    <t>C1:2500:SIN PRODUCTO C2:4700:SIN PRODUCTO </t>
  </si>
  <si>
    <t>38656-056-300316</t>
  </si>
  <si>
    <t>ESTACION SANTA MARGHERITA S.A.C.</t>
  </si>
  <si>
    <t>AV. SAENZ PEÑA N° 1100</t>
  </si>
  <si>
    <t>EDUARDO LUIS CAPRILE CARBAJO</t>
  </si>
  <si>
    <t>7070-056-160119</t>
  </si>
  <si>
    <t>ESTACION DE SERVICIOS EL MILAGRO S.A.C.</t>
  </si>
  <si>
    <t>AV. MIGUEL GRAU N° 900 MZ. 60 LOTE 01 SECTOR III CENTRO POBLADO EL MILAGRO</t>
  </si>
  <si>
    <t>132034-056-041017</t>
  </si>
  <si>
    <t>TADUP S.A.C.</t>
  </si>
  <si>
    <t>KM. 39.5 CARRETERA A CANTA - PUEBLO TRAPICHE</t>
  </si>
  <si>
    <t>C1:600:GASOHOL 84 PLUS </t>
  </si>
  <si>
    <t>C1:600:GASOHOL 90 PLUS </t>
  </si>
  <si>
    <t>C1:1000:GASOHOL 84 PLUS C2:1000:GASOHOL 90 PLUS C3:1000:GASOHOL 95 PLUS </t>
  </si>
  <si>
    <t>ESTEBAN DURAN Y PONCE</t>
  </si>
  <si>
    <t>19938-056-100317</t>
  </si>
  <si>
    <t xml:space="preserve">CORPORACION PETROGOL S.A.C. </t>
  </si>
  <si>
    <t>CARRETERA PANAMERICANA NORTE KM. 85.5</t>
  </si>
  <si>
    <t>C1:2000:Diesel B5 S-50 C2:4000:GASOHOL 90 PLUS </t>
  </si>
  <si>
    <t>LUIS GUSTAVO CAMPOS GAMARRA</t>
  </si>
  <si>
    <t>84403-056-280119</t>
  </si>
  <si>
    <t>HECTOR ALFONSO TORPOCO MAYTA</t>
  </si>
  <si>
    <t>JR. AUGUSTO B. LEGUIA Nº 898, ESQ. CON JR. 28 DE JULIO</t>
  </si>
  <si>
    <t>C1:4000:Diesel B5 S-50 C2:3000:GASOHOL 84 PLUS </t>
  </si>
  <si>
    <t>148431-056-231219</t>
  </si>
  <si>
    <t>AERO GAS DEL NORTE SOCIEDAD ANONIMA CERRADA</t>
  </si>
  <si>
    <t>AV. 2 MZ. C3 LOTES 11,12 Y 13 - PARQUE INDUSTRIAL DE LA ESPERANZA</t>
  </si>
  <si>
    <t>C1:1635:GASOHOL 84 PLUS C2:1635:GASOHOL 90 PLUS C3:1635:GASOHOL 95 PLUS C4:1635:GASOHOL 98 PLUS </t>
  </si>
  <si>
    <t>137777-056-240919</t>
  </si>
  <si>
    <t>ESTACION DE SERVICIOS PUCARA S.A.C.</t>
  </si>
  <si>
    <t>MZ. I LOTE 7 URB. SEMIRUSTICA MAMPUESTO</t>
  </si>
  <si>
    <t>C1:6050:Diesel B5 S-50 </t>
  </si>
  <si>
    <t>C1:6050:GASOHOL 95 PLUS </t>
  </si>
  <si>
    <t>C1:6050:GASOHOL 90 PLUS </t>
  </si>
  <si>
    <t xml:space="preserve">WAGNER RICARDO DOMINGUEZ MENDIETA </t>
  </si>
  <si>
    <t>85417-056-140417</t>
  </si>
  <si>
    <t>ESTACION DE SERVICIOS KALIN S.A.C</t>
  </si>
  <si>
    <t>PROLONGACIÓN AV. CESAR VALLEJO MZ. 46-B LOTE 01 TERCERA ETAPA FASE II URB. LA RINCONADA</t>
  </si>
  <si>
    <t>C1:5200:DIESEL B5,Diesel B5 S-50 </t>
  </si>
  <si>
    <t>JOSE CARLOS AVILA DOMINGUEZ</t>
  </si>
  <si>
    <t>61744-056-030715</t>
  </si>
  <si>
    <t>ESTACION DE SERVICIOS VILLA RICA S.R.L.</t>
  </si>
  <si>
    <t>ESQUINA DE LA AV. LOMAS DE CARABAYLLO - AV. VILLA RICA MZ. A, LOTES 1 Y 2 AAHH. ASOCIACION AGROPECUARIA VILLA RICA</t>
  </si>
  <si>
    <t>C1:2483:Diesel B5 S-50 </t>
  </si>
  <si>
    <t>C1:1196:GASOHOL 95 PLUS </t>
  </si>
  <si>
    <t>C1:1196:GASOHOL 90 PLUS </t>
  </si>
  <si>
    <t>C1:1196:GASOHOL 97 PLUS </t>
  </si>
  <si>
    <t>DANTE FERNANDEZ HERRERA</t>
  </si>
  <si>
    <t>64413-056-210319</t>
  </si>
  <si>
    <t>INVERSIONES Y AUTOSERVICIOS EL PUERTO S.A.C.</t>
  </si>
  <si>
    <t>LOTE N° 13 MANZANA I, ASOCIACION DE PEQUEÑOS INDUSTRIALES ARTESANALES DE MOLLENDO – APIAMO</t>
  </si>
  <si>
    <t>C1:2622:Diesel B5 S-50 </t>
  </si>
  <si>
    <t>C1:2622:GASOHOL 90 PLUS </t>
  </si>
  <si>
    <t>C1:1311:GASOHOL 95 PLUS C2:1311:GASOHOL 95 PLUS </t>
  </si>
  <si>
    <t>DANNY MILDER HERRERA DE GUZMAN</t>
  </si>
  <si>
    <t>15713-056-250919</t>
  </si>
  <si>
    <t>ESTACION DE SERVICIOS SEBASTIAN S.A.C.</t>
  </si>
  <si>
    <t>CALLE JESUS DE NAZARETH N° 501 - 506 MZ. B LT. 4 Y 5 DE AAHH. LOS CEDROS - CARRETERA PANAMERICANA NORTE KM. 604</t>
  </si>
  <si>
    <t>20981-056-250618</t>
  </si>
  <si>
    <t>INVERSIONES TERRASUR S.A.C.</t>
  </si>
  <si>
    <t xml:space="preserve">AV. CHANCAY S/N, SECTOR PAMPA LARA SUB LOTE N° 6 </t>
  </si>
  <si>
    <t>C1:1000:SIN PRODUCTO </t>
  </si>
  <si>
    <t>C1:0:GASOHOL 95 PLUS,GASOHOL 97 PLUS C2:1500:GASOHOL 95 PLUS C3:1500:GASOHOL 90 PLUS </t>
  </si>
  <si>
    <t>GASTÓN HERRERA MORELLI</t>
  </si>
  <si>
    <t>138640-056-240719</t>
  </si>
  <si>
    <t>CAX PETROL E.I.R.L.</t>
  </si>
  <si>
    <t>PROLONGACIÓN AVENIDA BOLOGNESI INTERSEC. AVENIDA CAJAMARCA CAMPIÑA AGRICOLA CHICLAYO</t>
  </si>
  <si>
    <t>C1:2000:GASOHOL 84 PLUS C2:2000:GASOHOL 90 PLUS C3:2000:GASOHOL 95 PLUS C4:2000:GASOHOL 98 PLUS </t>
  </si>
  <si>
    <t>JULIO ERNESTO ROCA ROMERO</t>
  </si>
  <si>
    <t>9572-056-060318</t>
  </si>
  <si>
    <t>LOS CIRUELOS S.A.C.</t>
  </si>
  <si>
    <t>AV. LOS PROCERES DE LA INDEPENDENCIA N° 2901,MZ. I LT. 10</t>
  </si>
  <si>
    <t>C1:0:Diesel B5 S-50 C2:3350:Diesel B5 S-50 C3:1650:GASOHOL 98 PLUS </t>
  </si>
  <si>
    <t>C1:5000:DIESEL 2 </t>
  </si>
  <si>
    <t>ROBERTO MANUEL ARROSPIDE ALIAGA</t>
  </si>
  <si>
    <t>7106-056-131013</t>
  </si>
  <si>
    <t>ESTACION DE SERVICIOS VILLA RICA DE OROPESA S.R.L.</t>
  </si>
  <si>
    <t>AV. MARISCAL CASTILLA N° 3312</t>
  </si>
  <si>
    <t>C1:6000:DIESEL B5 C2:4000:GASOHOL 84 PLUS </t>
  </si>
  <si>
    <t>C1:8500:GASOHOL 90 PLUS C2:1500:GASOHOL 97 PLUS </t>
  </si>
  <si>
    <t>TOMAS BASILIO ESPINOZA HUAMAN</t>
  </si>
  <si>
    <t>6961-056-030717</t>
  </si>
  <si>
    <t>PEBSA COMBUSTIBLES S.A.</t>
  </si>
  <si>
    <t>AV. BAUZATE Y MEZA N°. 1387 .ESQ. JR. GARIBALDI</t>
  </si>
  <si>
    <t>LUIS ENRIQUE FLORES FERNANDEZ</t>
  </si>
  <si>
    <t>144374-056-120619</t>
  </si>
  <si>
    <t>INVERSIONES PLIDEN S.A.C.</t>
  </si>
  <si>
    <t>PANAMERICANA SUR MZ. P, LOTES 18, 19, 20, COOPERATIVA DE VIVIENDA AMERICA S.R.LTDA</t>
  </si>
  <si>
    <t>8231-056-010517</t>
  </si>
  <si>
    <t>ESTACION DE SERVICIOS ETASA E.I.R.L</t>
  </si>
  <si>
    <t>CARRETERA CENTRAL KM 18 HUANUCO - LIMA (AV. PRIMAVERA N° 265)</t>
  </si>
  <si>
    <t>C1:2767:GASOHOL 97 PLUS </t>
  </si>
  <si>
    <t>8626-056-160818</t>
  </si>
  <si>
    <t>SERVICENTRO CHALPON S.A.C.</t>
  </si>
  <si>
    <t>CARRETERA AYACUCHO - HUANTA KM. 4.6</t>
  </si>
  <si>
    <t>DONATILDA PILLACA GARAUNDO</t>
  </si>
  <si>
    <t>45728-056-250918</t>
  </si>
  <si>
    <t>BULCAR S.C.R.L.</t>
  </si>
  <si>
    <t>AV PUERTO BERMUDEZ Nª 930</t>
  </si>
  <si>
    <t>C1:2500:GASOHOL 90 PLUS C2:2500:GASOHOL 84 PLUS </t>
  </si>
  <si>
    <t>C1:7000:Diesel B5 S-50 C2:1500:GASOHOL 95 PLUS C3:1500:GASOHOL 97 PLUS </t>
  </si>
  <si>
    <t>IRMA AMALIA BULEJE VDA DE CARDENAS</t>
  </si>
  <si>
    <t>8630-056-040919</t>
  </si>
  <si>
    <t xml:space="preserve">ALMAQUIO NERI MUÑOZ MAGRO </t>
  </si>
  <si>
    <t>CARRETERA CENTRAL KM. 95.75</t>
  </si>
  <si>
    <t>3112:GAS LICUADO DE PETROLEO </t>
  </si>
  <si>
    <t>ALMAQUIO NERI MUÑOZ MAGRO</t>
  </si>
  <si>
    <t>150628-056-170920</t>
  </si>
  <si>
    <t>EMPRESA MILAGRO DE DIOS S.A.C.</t>
  </si>
  <si>
    <t>INTERSECCIÓN DE AV. GRAU Y CALLE SIMÓN RUIZ</t>
  </si>
  <si>
    <t>PICSI</t>
  </si>
  <si>
    <t xml:space="preserve">MARIA SILVIA LLATAS CIEZA </t>
  </si>
  <si>
    <t>34750-056-300620</t>
  </si>
  <si>
    <t>ESTACION DE SERVICIOS SANTA ROSA S.A.</t>
  </si>
  <si>
    <t>VÍA DE EVITAMIENTO KM. 06</t>
  </si>
  <si>
    <t>ZACARIAS LOLO TICLAVILCA CORREA</t>
  </si>
  <si>
    <t>8154-056-100915</t>
  </si>
  <si>
    <t>AV. CARLOS IZAGUIRRE ESQUINA CON AV. SANTA ROSA MZ. A LOTE 19, URB. LA FLORIDA</t>
  </si>
  <si>
    <t>124738-056-130818</t>
  </si>
  <si>
    <t>GRIFO SAN ANTONIO E.I.R.L</t>
  </si>
  <si>
    <t>AV. GRAN CHIMU N° 475 Y HUAYNA CAPAC</t>
  </si>
  <si>
    <t>21395-056-150917</t>
  </si>
  <si>
    <t>ESTACION DE SERVICIOS GRIFO MASTER S.R.L.</t>
  </si>
  <si>
    <t>CARRETERA PANAMERICANA NORTE KM. 86.3, PARCELA 60-A PREDIO LAURE NORTE Y LAURE SUR</t>
  </si>
  <si>
    <t>C1:8192:Diesel B5 S-50 </t>
  </si>
  <si>
    <t>C1:2636:GASOHOL 97 PLUS </t>
  </si>
  <si>
    <t>C1:2636:GASOHOL 90 PLUS </t>
  </si>
  <si>
    <t>C1:1601:GASOHOL 95 PLUS </t>
  </si>
  <si>
    <t>JULIO VICTOR HUERTA TORRES</t>
  </si>
  <si>
    <t>14563-056-171219</t>
  </si>
  <si>
    <t>AV. VICTOR RAUL HAYA DE LA TORRE NRO. 2600 ESQUINA CON AV. SACSAHUAMAN</t>
  </si>
  <si>
    <t>17893-056-260919</t>
  </si>
  <si>
    <t>ESTACION VALLE CHICAMA S.A.C.</t>
  </si>
  <si>
    <t>CARRETERA PANAMERICANA NORTE KM. 590 - MARGEN IZQUIERDA</t>
  </si>
  <si>
    <t>C1:6126:Diesel B5 S-50 </t>
  </si>
  <si>
    <t>C1:3665:GASOHOL 95 PLUS </t>
  </si>
  <si>
    <t>C1:3665:GASOHOL 90 PLUS </t>
  </si>
  <si>
    <t>C1:3665:GASOHOL 97 PLUS </t>
  </si>
  <si>
    <t>C1:2812:Diesel B5 S-50 </t>
  </si>
  <si>
    <t>C1:3314:Diesel B5 S-50 </t>
  </si>
  <si>
    <t>115680-056-050816</t>
  </si>
  <si>
    <t>CORPORACION PERUANA DE INVERSIONES Y PRODUCCION S.A.</t>
  </si>
  <si>
    <t>AV. CENTENARIO N° 3404 PREDIO JUYTUPAMPA</t>
  </si>
  <si>
    <t>C1:5100:DIESEL B5,Diesel B5 S-50 </t>
  </si>
  <si>
    <t>C1:3100:GASOHOL 90 PLUS C2:2000:GASOHOL 95 PLUS </t>
  </si>
  <si>
    <t>C1:1356:GASOHOL 84 PLUS,GASOHOL 97 PLUS </t>
  </si>
  <si>
    <t>GUILLERMO ANTONIO GAMBINI PANTOJA</t>
  </si>
  <si>
    <t>9555-056-260718</t>
  </si>
  <si>
    <t>MALAVER SALAZAR ASOCIADOS S.A.C.</t>
  </si>
  <si>
    <t>AV. EVITAMIENTO NORTE N° 1116, ESQUINA CON PASAJE JUAN PABLO II, LOTIZACION EL BOSQUE</t>
  </si>
  <si>
    <t>C1:2500:GASOHOL 84 PLUS C2:2500:GASOHOL 90 PLUS </t>
  </si>
  <si>
    <t>C1:3600:GASOHOL 95 PLUS C2:3100:GASOHOL 98 PLUS </t>
  </si>
  <si>
    <t>C1:7821:Diesel B5 S-50 </t>
  </si>
  <si>
    <t>C1:5080:GASOHOL 90 PLUS </t>
  </si>
  <si>
    <t>C1:10225:Diesel B5 S-50 </t>
  </si>
  <si>
    <t>KATHYA EVELIN DEL PILAR MALAVER SALAZAR</t>
  </si>
  <si>
    <t>18345-056-050117</t>
  </si>
  <si>
    <t>ESTACION DE SERVICIOS AEROPUERTO S.R.L.</t>
  </si>
  <si>
    <t>AV. ELMER FAUCETT ESQUINA CON AV. TOMAS VALLE S/N</t>
  </si>
  <si>
    <t>1321:GAS LICUADO DE PETROLEO </t>
  </si>
  <si>
    <t>61123-056-080217</t>
  </si>
  <si>
    <t>LC OPERADOR DE COMBUSTIBLE S.A.C.</t>
  </si>
  <si>
    <t>AV. SAN JOAQUIN VIEJO Nº 666</t>
  </si>
  <si>
    <t>C1:1400:GASOHOL 90 PLUS C2:1400:GASOHOL 95 PLUS </t>
  </si>
  <si>
    <t>84908-056-050520</t>
  </si>
  <si>
    <t>PROLONGACION AV. SANCHEZ CERRO MZA. B - HABILITACION URBANA INDUSTRIAL - PARCELA J - ALTURA CARRETERA PANAMERICANA NORTE KM. 1004</t>
  </si>
  <si>
    <t>C1:3300:GASOHOL 95 PLUS C2:3300:Diesel B5 S-50 </t>
  </si>
  <si>
    <t>C1:3300:GASOHOL 90 PLUS C2:3300:GASOHOL 84 PLUS </t>
  </si>
  <si>
    <t xml:space="preserve">CASTILLO GALLO GUNTER MARTIN </t>
  </si>
  <si>
    <t>39227-056-120816</t>
  </si>
  <si>
    <t>AV. VICTOR RAUL HAYA DE LA TORRE N° 3240</t>
  </si>
  <si>
    <t>C1:4000:GASOHOL 98 PLUS C2:4000:DIESEL B5 </t>
  </si>
  <si>
    <t>8587-056-090516</t>
  </si>
  <si>
    <t>GRIFO MI AMANDITA E.I.R.L.</t>
  </si>
  <si>
    <t>AV. AGRICULTURA N° 1101 AA.HH. VILLA HERMOSA (ANTES AV. AGRICULTURA ESQ. CON AV. LAMBAYEQUE)</t>
  </si>
  <si>
    <t>C1:3270:GASOHOL 95 PLUS </t>
  </si>
  <si>
    <t>MARILYN DEL PILAR MENDOZA GONZALES</t>
  </si>
  <si>
    <t>19896-056-301216</t>
  </si>
  <si>
    <t>ESTACION DE SERVICIOS SEÑOR DE MURUHUAY E.I.R.L.</t>
  </si>
  <si>
    <t>AV. FRAY JERONIMO JIMENEZ Nº 1561</t>
  </si>
  <si>
    <t>C1:1500:GASOHOL 95 PLUS C2:5200:Diesel B5 S-50 </t>
  </si>
  <si>
    <t>C1:1500:GASOHOL 95 PLUS C2:1000:GASOHOL 97 PLUS </t>
  </si>
  <si>
    <t>MOISES CAÑARI PAREDES</t>
  </si>
  <si>
    <t>7179-056-301218</t>
  </si>
  <si>
    <t>CARRETERA PANAMERICANA SUR KM 29.50</t>
  </si>
  <si>
    <t>9434-056-040218</t>
  </si>
  <si>
    <t>INVERSIONES HECA S.A.C.</t>
  </si>
  <si>
    <t>AV. TUPAC AMARU Nº 598</t>
  </si>
  <si>
    <t>C2:4000:Diesel B5 S-50 </t>
  </si>
  <si>
    <t>9039-056-130619</t>
  </si>
  <si>
    <t>JOSUE RUFO TANTAVILCA CHUQUILLANQUI</t>
  </si>
  <si>
    <t>MZ. A, LOTE 26, ASOCIACION DE VIVIENDA OJIHUA INTERSECCION DE LA AV. LOS OLIVOS (EX SANTA ROSA) CON LA AUTOPISTA CANTA CALLAO</t>
  </si>
  <si>
    <t>147293-056-030520</t>
  </si>
  <si>
    <t>PERICHE INGA CHARLES MICHAEL</t>
  </si>
  <si>
    <t>CASERIO LETIRA VIA PANAMERICANA A SECHURA</t>
  </si>
  <si>
    <t>C1:7000:GASOHOL 90 PLUS C2:3000:GASOHOL 90 PLUS </t>
  </si>
  <si>
    <t>C1:5000:GASOHOL 84 PLUS C2:5000:GASOHOL 95 PLUS </t>
  </si>
  <si>
    <t>127630-056-101017</t>
  </si>
  <si>
    <t>GRUPO LEO GAS S.R.L.</t>
  </si>
  <si>
    <t>AV. GRAN CHIMU Y HUAYNA CAPAC N° 1695</t>
  </si>
  <si>
    <t>C1:1150:GASOHOL 90 PLUS C2:1150:GASOHOL 95 PLUS </t>
  </si>
  <si>
    <t>MARIA ANTONIETA LOZANO JIMENEZ</t>
  </si>
  <si>
    <t>125601-056-301218</t>
  </si>
  <si>
    <t>AV. REPUBLICA DE CROACIA (ANTES AV. LEONCIO PRADO) CON AV. COPACABANA KM 35 DE LA PANAMERICANA. NORTE MZ. N LT 186</t>
  </si>
  <si>
    <t>C1:6147:Diesel B5 S-50 </t>
  </si>
  <si>
    <t>C1:3073:GASOHOL 90 PLUS </t>
  </si>
  <si>
    <t>C1:1120:GASOHOL 95 PLUS </t>
  </si>
  <si>
    <t>132301-056-260718</t>
  </si>
  <si>
    <t>COMBUSTIBLES S&amp;C MOLINA S.A.C.</t>
  </si>
  <si>
    <t>AV. REAL S/N Y AV. 28 DE JULIO</t>
  </si>
  <si>
    <t>C1:2500:GASOHOL 90 PLUS C2:2000:GASOHOL 90 PLUS C3:2000:GASOHOL 95 PLUS </t>
  </si>
  <si>
    <t>ROMULO DANIEL MOLINA REYNOSO</t>
  </si>
  <si>
    <t>19863-056-010916</t>
  </si>
  <si>
    <t>AV. INDEPENDENCIA N° 365</t>
  </si>
  <si>
    <t>9553-056-091016</t>
  </si>
  <si>
    <t>TRANSPORTES Y SERVICIOS MULTIPLES S.A.</t>
  </si>
  <si>
    <t>UPIS SAN DIEGO MZ B LOTE 33 - URB. BELLAMAR (AV. ANCHOVETA S/N)</t>
  </si>
  <si>
    <t>C1:4000:GASOHOL 97 PLUS C2:4000:DIESEL B5,Diesel B5 S-50 </t>
  </si>
  <si>
    <t>C1:6200:GAS LICUADO DE PETROLEO </t>
  </si>
  <si>
    <t>CARLOS ALBERTO OSTOLAZA LOAYZA</t>
  </si>
  <si>
    <t>9028-056-240120</t>
  </si>
  <si>
    <t>ESTACION EL VOLANTE S.A.C.</t>
  </si>
  <si>
    <t>AV. BUENOS AIRES MZ. K1 LOTE 01, PUEBLO JOVEN EL PORVENIR</t>
  </si>
  <si>
    <t>C1:6500:SIN PRODUCTO </t>
  </si>
  <si>
    <t xml:space="preserve">JULIO CLERIGO MILLA CABALLERO </t>
  </si>
  <si>
    <t>6740-056-310717</t>
  </si>
  <si>
    <t>CONSORCIO EL NORTEÑO S.A.C</t>
  </si>
  <si>
    <t>CARRETERA PANAMERICANA NORTE KM. 31.7</t>
  </si>
  <si>
    <t>2747:GAS LICUADO DE PETROLEO </t>
  </si>
  <si>
    <t>FLOR ROXANA SANCHEZ TAFUR</t>
  </si>
  <si>
    <t>9470-056-231020</t>
  </si>
  <si>
    <t>AV. AVIACIÓN KM. 6.5</t>
  </si>
  <si>
    <t>95643-056-210318</t>
  </si>
  <si>
    <t>SERVICENTRO PASAMAYO S.A.C.</t>
  </si>
  <si>
    <t>AV. PERIURBANA Nº 1007 (PREDIO RURAL ZAPALLAL ALTO - EL DORADO)</t>
  </si>
  <si>
    <t>C1:1500:GASOHOL 90 PLUS C2:1500:GASOHOL 95 PLUS C3:2227:Diesel B5 S-50 </t>
  </si>
  <si>
    <t>GERMAN CIPIRIANO ARANDA HUAMAN</t>
  </si>
  <si>
    <t>82999-056-270318</t>
  </si>
  <si>
    <t>GASOCENTRO RUPAY E.I.R.L.</t>
  </si>
  <si>
    <t>JR. PETRONA APOALAYA S/N ESQUINA CON JR. SANTOS BRAVO S/N</t>
  </si>
  <si>
    <t>ROMANI RUPAY DAVID DANIEL</t>
  </si>
  <si>
    <t>41554-056-050620</t>
  </si>
  <si>
    <t>GRIFOS MM S.A.C.</t>
  </si>
  <si>
    <t>AV. MARGINAL S/N, AA.HH. HERMANAS PAUCAR SANGANI</t>
  </si>
  <si>
    <t>MARTIN MARCELO MORALES</t>
  </si>
  <si>
    <t>17947-056-311218</t>
  </si>
  <si>
    <t>ESTACION DE SERVICIO NIAGARA S.R.L.</t>
  </si>
  <si>
    <t>JR. ELVIRA GARCIA Y GARCIA Nº 2790, 2794, 2796.</t>
  </si>
  <si>
    <t>JOSE LUIS YEP AQUIJE</t>
  </si>
  <si>
    <t>33301-056-271119</t>
  </si>
  <si>
    <t>PROLONGACION BUENOS AIRES KM. 3.5, PARCELA 11035A Y 11035B, PREDIO LA RINCONADA, SECTOR SAN JOSE</t>
  </si>
  <si>
    <t>138210-056-220919</t>
  </si>
  <si>
    <t>ESTACIÓN DE SERVICIOS EL INTI S.R.L.</t>
  </si>
  <si>
    <t>HABILITACION INDUSTRIAL, MANZANA C, LOTES 01 Y 02</t>
  </si>
  <si>
    <t>C1:1510:GASOHOL 90 PLUS </t>
  </si>
  <si>
    <t>C1:1510:GASOHOL 95 PLUS </t>
  </si>
  <si>
    <t>C1:2506:GASOHOL 95 PLUS </t>
  </si>
  <si>
    <t>C1:4009:Diesel B5 S-50 </t>
  </si>
  <si>
    <t>5450:GAS LICUADO DE PETROLEO </t>
  </si>
  <si>
    <t>JORGE ELIAS JUNIOR RODRIGUEZ MADUEÑO</t>
  </si>
  <si>
    <t>110659-056-200218</t>
  </si>
  <si>
    <t>VERPASAR S.A.C</t>
  </si>
  <si>
    <t>AV. LAS LOMAS DE CARABAYLLO MZ- B LTES 14,15 Y 16 - PROGRAMA DE VIVIENDA SAN JOSE</t>
  </si>
  <si>
    <t>9317-056-180615</t>
  </si>
  <si>
    <t>GRIFO CUNAS S.A.C.</t>
  </si>
  <si>
    <t>AV. 24 DE JUNIO Nº 285</t>
  </si>
  <si>
    <t>C1:7900:SIN PRODUCTO </t>
  </si>
  <si>
    <t>C1:3500:GASOHOL 84 PLUS </t>
  </si>
  <si>
    <t>LIBIA ROSALIA MUÑOZ OCHOA</t>
  </si>
  <si>
    <t>127495-056-070319</t>
  </si>
  <si>
    <t>EMPRESA FREE E.I.R.L.</t>
  </si>
  <si>
    <t>CARRETERA HUARAL LT 11 SECTOR JESUS DEL VALLE, UC 10753</t>
  </si>
  <si>
    <t>C1:2000:GASOHOL 90 PLUS C2:2000:GASOHOL 95 PLUS C3:2000:GASOHOL 98 PLUS </t>
  </si>
  <si>
    <t>MANUEL VICTOR GARCÍA VILCHEZ</t>
  </si>
  <si>
    <t>0018-EGLP-15-2007</t>
  </si>
  <si>
    <t>J.E.W. S.R.L.T.D.A.</t>
  </si>
  <si>
    <t>JR. LIMA N° 672 ESQ. JR. CASTILLA N° 940</t>
  </si>
  <si>
    <t>C1:9000:DIESEL 2 </t>
  </si>
  <si>
    <t>LUNG DAZA, VICTOR RAUL</t>
  </si>
  <si>
    <t>122906-056-270716</t>
  </si>
  <si>
    <t>ESTACIONES ALEJANDRO S.A.C</t>
  </si>
  <si>
    <t>CARRETERA PANAMERICANA SUR KM 271.8</t>
  </si>
  <si>
    <t>C1:4500:DIESEL B5 </t>
  </si>
  <si>
    <t>C1:2000:SIN PRODUCTO C2:2000:GASOHOL 95 PLUS </t>
  </si>
  <si>
    <t>6847-056-091019</t>
  </si>
  <si>
    <t>ESTACION MIRAFLORES S.A.C.</t>
  </si>
  <si>
    <t>PROLONGACION AV. MIRAFLORES Nº 1937</t>
  </si>
  <si>
    <t>RONALD RICARDO DOMINGUEZ CALVA</t>
  </si>
  <si>
    <t>18504-056-200520</t>
  </si>
  <si>
    <t>ESTACION DE SERVICIOS SAN MIGUEL S.R.L.</t>
  </si>
  <si>
    <t>AV. JOSE DE LAMA Y AV. CHAMPAGNAT</t>
  </si>
  <si>
    <t>C1:5500:GASOHOL 97 PLUS </t>
  </si>
  <si>
    <t>FERNANDO CUEVA CELI</t>
  </si>
  <si>
    <t>83046-056-140218</t>
  </si>
  <si>
    <t>CLARIZA FLORA EVARISTO RAMOS</t>
  </si>
  <si>
    <t>CARRETERA CENTRAL HUANUCO - LA UNION KM. 62.5. CENTRO POBLADO LLICLLATAMBO. CASERIO KUTIPUQUIO</t>
  </si>
  <si>
    <t>YAROWILCA</t>
  </si>
  <si>
    <t>CHAVINILLO</t>
  </si>
  <si>
    <t>C3:500:GASOHOL 95 PLUS </t>
  </si>
  <si>
    <t>C1:1500:DIESEL B5 C2:1000:GASOHOL 90 PLUS </t>
  </si>
  <si>
    <t>19930-056-300914</t>
  </si>
  <si>
    <t>COMBUSTIBLES ICA S.A.</t>
  </si>
  <si>
    <t>CARRETERA PANAMERICANA SUR KM. 143</t>
  </si>
  <si>
    <t>C1:3000:GASOHOL 95 PLUS C2:5000:Diesel B5 S-50 </t>
  </si>
  <si>
    <t xml:space="preserve">LUIS ENRIQUE FLORES FERNANDEZ </t>
  </si>
  <si>
    <t>14845-056-201020</t>
  </si>
  <si>
    <t>AV. EJERCITO N° 1595 Y AV. MANUEL A. ODRIA</t>
  </si>
  <si>
    <t>C1:4800:GASOHOL 97 PLUS </t>
  </si>
  <si>
    <t>98304-056-080520</t>
  </si>
  <si>
    <t>URB. LOS JARDINES DE COR PIURA MZ. N LOTES 15 - 18</t>
  </si>
  <si>
    <t>7819-056-101117</t>
  </si>
  <si>
    <t>PETRO REAL GAS E.I.R.L.</t>
  </si>
  <si>
    <t>AV. SIMON BOLIVAR Nº 1080 - 1170</t>
  </si>
  <si>
    <t>C1:1646:GASOHOL 95 PLUS </t>
  </si>
  <si>
    <t>C1:2195:GASOHOL 90 PLUS </t>
  </si>
  <si>
    <t>C1:1646:GASOHOL 97 PLUS </t>
  </si>
  <si>
    <t>18533-056-271217</t>
  </si>
  <si>
    <t>PEREGRINA TRONCOS ABAD VDA. DE GALVEZ</t>
  </si>
  <si>
    <t>AV. CHINCHAYSUYO Nº 402 - 404, URB. TAHUANTINSUYO</t>
  </si>
  <si>
    <t>8310-056-030520</t>
  </si>
  <si>
    <t>GRIFO SANTA MARIA ROSA MISTICA S.R.L.</t>
  </si>
  <si>
    <t>CARRETERA PANAMERICANA NORTE KM. 1276</t>
  </si>
  <si>
    <t>C1:5500:GASOHOL 90 PLUS C2:3000:GASOHOL 84 PLUS C3:1500:GASOHOL 95 PLUS </t>
  </si>
  <si>
    <t>MARIA BEATRIZ ORTIZ CALERO</t>
  </si>
  <si>
    <t>124335-056-161116</t>
  </si>
  <si>
    <t>ESTACION DE SERVICIOS SIERRA NEVADA EIRL</t>
  </si>
  <si>
    <t>PREDIO KAKE PAMPA, U.C. 08347, VALLE CALLEJON DE HUAYLAS, SECTOR SAN NICOLAS</t>
  </si>
  <si>
    <t>INES MÓNICA SOTELO ROMERO</t>
  </si>
  <si>
    <t>21355-056-031219</t>
  </si>
  <si>
    <t>SATELITE DEL SUR S.A.C.</t>
  </si>
  <si>
    <t>AV. COLLPA FRENTE AL OVALO CUSCO, VILLA SAN CARLOS MZ. A, LOTES 1 AL 6</t>
  </si>
  <si>
    <t>EVARISTO HUAYHUA GUTIERREZ</t>
  </si>
  <si>
    <t>38328-056-010917</t>
  </si>
  <si>
    <t>ESTACION YOKOHAMA S.A.C.</t>
  </si>
  <si>
    <t>AV MARISCAL BENAVIDES N° 1575 - CARRETERA PANAMERICANA SUR KM 196</t>
  </si>
  <si>
    <t>JORGE LUIS MEDINA KUBOYAMA</t>
  </si>
  <si>
    <t>35257-056-201017</t>
  </si>
  <si>
    <t>MULTISERVI. SR. DE QUINUAPATA E.I.R.L.</t>
  </si>
  <si>
    <t>AV. JUAN SANTOS ATAHUALPA S/N SECTOR HUACARA</t>
  </si>
  <si>
    <t>C2:4000:GASOHOL 95 PLUS </t>
  </si>
  <si>
    <t>C1:1000:GASOHOL 97 PLUS C2:1000:GASOHOL 84 PLUS </t>
  </si>
  <si>
    <t>BONIFACIA BARBOZA QUISPE</t>
  </si>
  <si>
    <t>140825-056-090720</t>
  </si>
  <si>
    <t>ESTACION DE SERVICIOS Y GLP SEÑOR DE BURGOS S.A.C.</t>
  </si>
  <si>
    <t>BARRIO ULCUMANO SECTOR TIRISHUANCA CARRETERA HUANUCO - PANAO</t>
  </si>
  <si>
    <t>C1:4000:Diesel B5 S-50 C2:3000:GASOHOL 90 PLUS C3:3000:GASOHOL 95 PLUS </t>
  </si>
  <si>
    <t>RICARDA POMA MENDOZA</t>
  </si>
  <si>
    <t>16785-056-071118</t>
  </si>
  <si>
    <t>COMERCIAL GUILLERMO E.I.R.L.</t>
  </si>
  <si>
    <t>JR. DE LA UNION N° 117-141 (ANTES 112), BARRIO BELLAVISTA</t>
  </si>
  <si>
    <t>ANGARAES</t>
  </si>
  <si>
    <t>LIRCAY</t>
  </si>
  <si>
    <t>C1:7000:GASOHOL 90 PLUS C2:4000:GASOHOL 95 PLUS </t>
  </si>
  <si>
    <t>MARIA DORLISKA GUILLERMO ESPINOZA</t>
  </si>
  <si>
    <t>19991-056-300519</t>
  </si>
  <si>
    <t>ESTACION DE SERVICIOS LAS CONCHITAS E.I.R.L.</t>
  </si>
  <si>
    <t>AV PACHACUTEC Nº 6587 MZ D LOTES N° 14,16, 18, 19 SANTA ROSA DE TABLADA DE LURIN</t>
  </si>
  <si>
    <t>C1:3300:GASOHOL 98 PLUS C2:3300:GASOHOL 95 PLUS </t>
  </si>
  <si>
    <t>MOISES FELIX OLAZABAL</t>
  </si>
  <si>
    <t>140345-056-060919</t>
  </si>
  <si>
    <t>ESTACION DE SERVICIOS MI GRIFO S.R.L.</t>
  </si>
  <si>
    <t>CARRETERA PANAMERICANA SUR KM 980.7,SECTOR SAN JOSE - LAS BERMUDAS LOTE INDUSTRIAL 1</t>
  </si>
  <si>
    <t>LA JOYA</t>
  </si>
  <si>
    <t xml:space="preserve">WALTER BENITO SALAZAR CHIRIO </t>
  </si>
  <si>
    <t>61093-056-280116</t>
  </si>
  <si>
    <t>SUPER GRIFOS FLORES S.A.C.</t>
  </si>
  <si>
    <t>ZONA PACHARAQUI AUQUISH - ESQUINA CARRETERA CENTRAL KM 114 DE LA VIA LA OROYA - HUANCAYO Y AV BUENAVENTURA GAMARRA</t>
  </si>
  <si>
    <t>HUALHUAS</t>
  </si>
  <si>
    <t>C1:2025:GASOHOL 97 PLUS </t>
  </si>
  <si>
    <t>C1:3285:GASOHOL 84 PLUS </t>
  </si>
  <si>
    <t>C1:4340:GASOHOL 90 PLUS </t>
  </si>
  <si>
    <t>7643-056-250116</t>
  </si>
  <si>
    <t>LUBEMEBU S.A.C.</t>
  </si>
  <si>
    <t>AV. ALCIDES CARRION N° 853 - LA PAMPILLA</t>
  </si>
  <si>
    <t>7040-056-110918</t>
  </si>
  <si>
    <t>AV. TUPAC AMARU KM.16,5</t>
  </si>
  <si>
    <t>C1:3000:GASOHOL 95 PLUS C2:3000:SIN PRODUCTO </t>
  </si>
  <si>
    <t>3945:GAS LICUADO DE PETROLEO </t>
  </si>
  <si>
    <t>105356-056-160415</t>
  </si>
  <si>
    <t>MULTISERVIS LAS LOMAS E.I.R.L.</t>
  </si>
  <si>
    <t>AV. 200 ESQUINA CON CALLE S/N, MZ. A, LOTE 21 - PARQUE INDUSTRIAL PACHACUTEC</t>
  </si>
  <si>
    <t>C1:4087:Diesel B5 S-50 </t>
  </si>
  <si>
    <t>C1:1363:GASOHOL 95 PLUS </t>
  </si>
  <si>
    <t>C1:1363:GASOHOL 90 PLUS </t>
  </si>
  <si>
    <t>RAIDA PETRONILA AQUINO SUAREZ</t>
  </si>
  <si>
    <t>19928-056-200619</t>
  </si>
  <si>
    <t>INVERSIONES JEM S.A.C.</t>
  </si>
  <si>
    <t>AV. SALAVERRY NRO. 930 - URB. PATAZCA</t>
  </si>
  <si>
    <t>JANNINA LEON GUTIERREZ</t>
  </si>
  <si>
    <t>19840-056-280819</t>
  </si>
  <si>
    <t>DIMEXSA S.A.C.</t>
  </si>
  <si>
    <t>MZ. B, LOTES 1, 10, 11 Y 12 ZONA INDUSTRIAL LOS PINOS</t>
  </si>
  <si>
    <t xml:space="preserve">FLOR DE MARÍA ZAVALETA ESCOBEDO </t>
  </si>
  <si>
    <t>7506-056-080819</t>
  </si>
  <si>
    <t>ESTACION DE SERVICIOS SANTA MARIA S.R.L.</t>
  </si>
  <si>
    <t>AV. NICOLAS DE PIEROLA Nº 1810 - 1850</t>
  </si>
  <si>
    <t>C1:5190:GASOHOL 90 PLUS </t>
  </si>
  <si>
    <t>C1:6550:GASOHOL 95 PLUS </t>
  </si>
  <si>
    <t>C1:7820:Diesel B5 S-50 </t>
  </si>
  <si>
    <t>C1:7790:Diesel B5 S-50 </t>
  </si>
  <si>
    <t>39877-056-080217</t>
  </si>
  <si>
    <t>L C OPERADOR DE COMBUSTIBLE S.A.C.</t>
  </si>
  <si>
    <t>CARRETERA PANAMERICANA SUR KM. 332</t>
  </si>
  <si>
    <t>C1:800:GASOHOL 95 PLUS </t>
  </si>
  <si>
    <t>123181-056-150620</t>
  </si>
  <si>
    <t>GRIFO OLEOCENTRO REYSAN E.I.R.L.</t>
  </si>
  <si>
    <t>ESQUINA AV. NUEVO TRUJILLO CON AV. CHEPEN, MZA. 66 LOTE 07, FUNDO LA ESPERANZA URB. MANUEL AREVALO C.P. VICTOR RAUL HAYA DE LA TORRE</t>
  </si>
  <si>
    <t>C1:2200:Diesel B5 S-50 </t>
  </si>
  <si>
    <t>C1:1100:GASOHOL 95 PLUS </t>
  </si>
  <si>
    <t xml:space="preserve">REYNALDO SANTIAGO HUAMANQUISPE AVILA </t>
  </si>
  <si>
    <t>8509-056-281117</t>
  </si>
  <si>
    <t>FULL SERVICE SAN VICENTE S.R.L.</t>
  </si>
  <si>
    <t>AV. MARISCAL BENAVIDES N° 2433</t>
  </si>
  <si>
    <t>MIRIAM ROSA YACTAYO REYNA</t>
  </si>
  <si>
    <t>21482-056-160615</t>
  </si>
  <si>
    <t>MIOLENA S.A.</t>
  </si>
  <si>
    <t>AV. CANTA CALLAO Y CALLE 2 - MZ. F, LT. 19 - 22, 38, 39, URB. BRISAS DE STA ROSA</t>
  </si>
  <si>
    <t>C1:6000:Diesel B5 S-50 C2:2000:SIN PRODUCTO </t>
  </si>
  <si>
    <t>93140-056-271112</t>
  </si>
  <si>
    <t>AV SEPARADORA INDUSTRIAL ESQUINA CON CALLE C1 AGRUPAMIENTO PACHACAMAC MZ B1 PARCELA 3C GRUPO B LOTE 25</t>
  </si>
  <si>
    <t>NOEL JOROSLAW BAUTISTA ALCAZAR</t>
  </si>
  <si>
    <t>17862-056-161118</t>
  </si>
  <si>
    <t xml:space="preserve">PUEBLO JOVEN JOSE CARLOS MARIATEGUI, ETAPA PRIMERA, AV. JULIO C. TELLO N° 101, MZ. E LOTE 01 </t>
  </si>
  <si>
    <t>44590-056-110520</t>
  </si>
  <si>
    <t>ESTACION DE SERVICIOS LA UNION S.A.C.</t>
  </si>
  <si>
    <t>MZ.102 - LOTE 01, PROLONGACION AV. LIMA (ANTES KM.01 CARRETERA LA UNION - PIURA)</t>
  </si>
  <si>
    <t>LA UNION</t>
  </si>
  <si>
    <t>BAYONA PANTA JORGE ALFREDO</t>
  </si>
  <si>
    <t>18592-056-120116</t>
  </si>
  <si>
    <t>AV. MARISCAL CASTILLA Nº 1810 ESQUINA JR. AGUIRRE MORALES</t>
  </si>
  <si>
    <t>16586-056-121219</t>
  </si>
  <si>
    <t>AV. FRANCISCO PIZARRO N°1207</t>
  </si>
  <si>
    <t>135694-056-020518</t>
  </si>
  <si>
    <t>LOTE D Y E PREDIO EL TANQUE - SECTOR EL TANQUE KM. 556 - CAR. PANAMERICANA NORTE</t>
  </si>
  <si>
    <t>C1:7362:Diesel B5 S-50 </t>
  </si>
  <si>
    <t>C1:2696:GASOHOL 90 PLUS </t>
  </si>
  <si>
    <t>C1:2696:GASOHOL 95 PLUS </t>
  </si>
  <si>
    <t>C1:2022:GASOHOL 84 PLUS </t>
  </si>
  <si>
    <t>7970-056-070619</t>
  </si>
  <si>
    <t>ESQUINA AVENIDA NACIONALISMO N° 540 Y AVENIDA EL CARMEN, URBANIZACION LAS BRISAS</t>
  </si>
  <si>
    <t>C1:4600:GASOHOL 84 PLUS </t>
  </si>
  <si>
    <t>C1:4600:Diesel B5 S-50 </t>
  </si>
  <si>
    <t>137117-056-280918</t>
  </si>
  <si>
    <t>JV ORIENTE SAC</t>
  </si>
  <si>
    <t>AV. SEPARADORA INDUSTRIALES ESQ. CALLE S/N ALT. CARRETERA FEDERICO BASADRE KM 7.8</t>
  </si>
  <si>
    <t>C1:1300:GASOLINA 90 C2:1300:GASOLINA 90 </t>
  </si>
  <si>
    <t>KATTY ROCIO LEON ROMAN</t>
  </si>
  <si>
    <t>7304-056-160519</t>
  </si>
  <si>
    <t>ESTACION DE SERVICIO PONCE S.R.L.</t>
  </si>
  <si>
    <t>COOPERATIVA VIVIENDA EL VALLE MZ. C, LT. 25</t>
  </si>
  <si>
    <t>C1:2500:GASOHOL 95 PLUS C2:2500:GASOHOL 90 PLUS </t>
  </si>
  <si>
    <t>C1:3200:SIN PRODUCTO </t>
  </si>
  <si>
    <t>FLORENCIO PONCE TRINIDAD</t>
  </si>
  <si>
    <t>144873-056-051219</t>
  </si>
  <si>
    <t>ESTACION DE SERVICIOS MCQUEEN S.A.C.</t>
  </si>
  <si>
    <t>PREDIO 21723, LA VICTORIA CALLE PU-PRS / CALLE U.C. 10570</t>
  </si>
  <si>
    <t>C1:3000:GASOHOL 95 PLUS C2:2000:GASOHOL 97 PLUS </t>
  </si>
  <si>
    <t>OSCAR LEONIDAS LAZARTE VIZCARRA</t>
  </si>
  <si>
    <t>115456-056-241219</t>
  </si>
  <si>
    <t>OLIGO S.A.C.</t>
  </si>
  <si>
    <t>ASOCIACIÓN DE PROPIETARIOS LAS PALMERAS, LOTES A-10, A-15 Y A-16</t>
  </si>
  <si>
    <t>SAN SEBASTIAN</t>
  </si>
  <si>
    <t>C1:4650:Diesel B5 S-50 </t>
  </si>
  <si>
    <t>C1:4650:GASOHOL 84 PLUS </t>
  </si>
  <si>
    <t>C1:4650:GASOHOL 90 PLUS </t>
  </si>
  <si>
    <t>LINCOL OLAZABAL CARBAJAL</t>
  </si>
  <si>
    <t>7420-056-130120</t>
  </si>
  <si>
    <t>RACING PLUS 34 EMPRESA INDIVIDUAL DE RESPONSABILIDAD LIMITADA</t>
  </si>
  <si>
    <t xml:space="preserve">CARRETERA CENTRAL HUANUCO - TINGO MARIA KM. 10 </t>
  </si>
  <si>
    <t>C1:9300:GASOHOL 95 PLUS </t>
  </si>
  <si>
    <t>EMILIO FERNANDO ESPINOZA DOMINGUEZ</t>
  </si>
  <si>
    <t>44472-056-261019</t>
  </si>
  <si>
    <t>TORREBLANCA INVERSIONES GENERALES S.R.L.</t>
  </si>
  <si>
    <t xml:space="preserve">CARRETERA LIMA - CANTA KM. 23, PARCELA 283 (EX-FUNDO CAUDEVILLA - HUACOY PUNCHAUCA) </t>
  </si>
  <si>
    <t>C1:6728:SIN PRODUCTO </t>
  </si>
  <si>
    <t>C1:6728:GASOHOL 90 PLUS </t>
  </si>
  <si>
    <t>C1:4436:GASOHOL 95 PLUS </t>
  </si>
  <si>
    <t>C1:2245:GASOHOL 97 PLUS </t>
  </si>
  <si>
    <t>C1:6728:Diesel B5 S-50 </t>
  </si>
  <si>
    <t>SARA ROXANA ENRIQUES VENTURA</t>
  </si>
  <si>
    <t>42374-056-261020</t>
  </si>
  <si>
    <t>ESTACION DE SERVICIOS GRUPO SAN CARLOS S.A.C.</t>
  </si>
  <si>
    <t>AV. ARICA N° 1821 CRUCE CON EL JR. SUCRE</t>
  </si>
  <si>
    <t>C1:1250:SIN PRODUCTO C2:1250:SIN PRODUCTO </t>
  </si>
  <si>
    <t>C1:1500:SIN PRODUCTO C2:1500:SIN PRODUCTO </t>
  </si>
  <si>
    <t>JUDITH BEATRIZ CORIMAYA BAUTISTA</t>
  </si>
  <si>
    <t>9427-056-010620</t>
  </si>
  <si>
    <t>ESTACION DE SERVICIOS MY FRIEND S.A.C.</t>
  </si>
  <si>
    <t xml:space="preserve">VIA EVITAMIENTO SUR N° 371 URB. LA RIVERA </t>
  </si>
  <si>
    <t>JOSE RICARDO BOYD BOYD</t>
  </si>
  <si>
    <t>129641-056-210817</t>
  </si>
  <si>
    <t>DISCOM D&amp;M S.A.C.</t>
  </si>
  <si>
    <t xml:space="preserve">SUB LOTE 1-A QUE FORMO PARTE DEL LOTE 1 DE LA MZ F, URB. CANTO GRANDE UNIDAD 12 </t>
  </si>
  <si>
    <t>C1:3000:GASOHOL 90 PLUS C2:3000:GASOHOL 84 PLUS </t>
  </si>
  <si>
    <t>34740-056-060819</t>
  </si>
  <si>
    <t>GRIFO Y ESTACIONES MI LEYDI S.A.C.</t>
  </si>
  <si>
    <t>CARRETERA PEDRO RUIZ- CHACHAPOYAS KM 52 FUNDO VILLA DE PARIS</t>
  </si>
  <si>
    <t>C1:2000:GASOLINA 90 C2:4000:GASOLINA 90 </t>
  </si>
  <si>
    <t>C1:2500:GASOLINA 95 </t>
  </si>
  <si>
    <t>RAMIRO CULQUI VIGO</t>
  </si>
  <si>
    <t>99019-056-121216</t>
  </si>
  <si>
    <t>PARTE DEL SUB LOTE 1 Y SUB LOTE 2, CARRETERA PANAMERICANA NORTE KM. 191+506.50</t>
  </si>
  <si>
    <t>130523-056-130218</t>
  </si>
  <si>
    <t>ESTACION DE SERVICIOS VIRGEN DE GUADALUPE PARCONA E.I.R.L.</t>
  </si>
  <si>
    <t>CENTRO POBLADO LOS INCAS A-16</t>
  </si>
  <si>
    <t>C1:1500:GASOHOL 95 PLUS C2:1500:GASOHOL 84 PLUS </t>
  </si>
  <si>
    <t>YSABEL MARÍA JOSEFINA CHACALTANA GONZALES</t>
  </si>
  <si>
    <t>100144-056-241117</t>
  </si>
  <si>
    <t>EMPRESA DE TRANSPORTES IMPERIAL NUEVO IMPERIAL LA FLORIDA Nº 06 S.A.</t>
  </si>
  <si>
    <t xml:space="preserve">LOTIZACION EL CONDE, LOTE 1, PARCELA P-87-1 </t>
  </si>
  <si>
    <t>NUEVO IMPERIAL</t>
  </si>
  <si>
    <t>C1:1000:GASOHOL 90 PLUS C2:1000:GASOHOL 95 PLUS </t>
  </si>
  <si>
    <t>ELVIS JORGE GONZALES DEL VALLE CANDELA</t>
  </si>
  <si>
    <t>97331-056-300317</t>
  </si>
  <si>
    <t>H BELLIDO TRANSPORTES S.A.C.</t>
  </si>
  <si>
    <t xml:space="preserve">CARRETERA ALTO LARAN MZ. A LOTES 7, 8, 9, 10, 11, 12 Y 13, HABILITACION URBANA BUENAVENTURA </t>
  </si>
  <si>
    <t>C1:1000:GASOHOL 95 PLUS C2:1500:GASOHOL 90 PLUS </t>
  </si>
  <si>
    <t>61014-056-300918</t>
  </si>
  <si>
    <t>INVERSIONES BJL S.A.C.</t>
  </si>
  <si>
    <t>MZ. I-4, LOTE 05 (ESQUINA AV. PRECURSORES Y JR. LA PAMPILLA), ZONA INDUSTRIAL</t>
  </si>
  <si>
    <t>C1:3623:Diesel B5 S-50 C2:906:SIN PRODUCTO </t>
  </si>
  <si>
    <t>C1:1345:GASOHOL 95 PLUS C2:1345:GASOHOL 90 PLUS </t>
  </si>
  <si>
    <t>C1:6497:Diesel B5 S-50 </t>
  </si>
  <si>
    <t>93384-056-140519</t>
  </si>
  <si>
    <t>ESTACION SAN DIEGO S.A.C.</t>
  </si>
  <si>
    <t>AV. EL SOL MZ. J-1, LT. 04, URB. LAS VERTIENTES</t>
  </si>
  <si>
    <t>119078-056-231215</t>
  </si>
  <si>
    <t>GRIFO JOSE OLAYA E.I.R.L.</t>
  </si>
  <si>
    <t>AV. FERROCARRIL Nº 2368, 2372, 2374.</t>
  </si>
  <si>
    <t>C1:10100:DIESEL B5 </t>
  </si>
  <si>
    <t>PEPE JUAN CHUQUILLANQUI ALAIAGA</t>
  </si>
  <si>
    <t>112121-056-010917</t>
  </si>
  <si>
    <t>SERVICENTRO SUNAMPE S.A.C.</t>
  </si>
  <si>
    <t>AV. PRINCIPAL N° 444 - C.P. SAN PEDRO DE PILPA</t>
  </si>
  <si>
    <t>C1:3000:GASOHOL 90 PLUS C2:2000:GASOHOL 84 PLUS </t>
  </si>
  <si>
    <t>C1:3500:DIESEL B5,Diesel B5 S-50 C2:1480:GASOHOL 95 PLUS </t>
  </si>
  <si>
    <t>147378-056-080620</t>
  </si>
  <si>
    <t>AV. NESTOR GAMBETTA Y AV. LOS ALISOS MZ. A LOTES 06 Y 07 SECCION C PARCELA 2, EX FUNDO OQUENDO KM 8.5 CARRETERA A VENTANILLA</t>
  </si>
  <si>
    <t>141817-056-080520</t>
  </si>
  <si>
    <t>SERVICENTRO CHALE E.I.R.L.</t>
  </si>
  <si>
    <t>AV. PANAMERICANA S/N ANEXO SAN PEDRO - ZONA LA TALAREÑA</t>
  </si>
  <si>
    <t>IGNACIO ESCUDERO</t>
  </si>
  <si>
    <t>SALAZAR YOVERA CARLOS HUMBERTO</t>
  </si>
  <si>
    <t>62646-056-171017</t>
  </si>
  <si>
    <t>SELVA COMBUSTIBLES E.I.R.L.</t>
  </si>
  <si>
    <t>CARRETERA YURIMAGUAS - TARAPOTO KM 3.8</t>
  </si>
  <si>
    <t>C1:9300:DIESEL B5,Diesel B5 S-50 </t>
  </si>
  <si>
    <t>18431-056-201219</t>
  </si>
  <si>
    <t>PETROCENTRO LOS SAUCES S.A.C.</t>
  </si>
  <si>
    <t>AV. PACASMAYO N° 705, AA.HH. LOS SAUCES</t>
  </si>
  <si>
    <t>C1:2500:Diesel B5 S-50 C2:2500:Diesel B5 S-50 </t>
  </si>
  <si>
    <t>ELMO MANUEL MARTINEZ ZEGOVIA</t>
  </si>
  <si>
    <t>6746-056-130317</t>
  </si>
  <si>
    <t>CORPORACION VISTA ALEGRE S.A.C.</t>
  </si>
  <si>
    <t>AV. NICOLAS AYLLON 4706 (LOTE A - FUNDO VISTA ALEGRE)</t>
  </si>
  <si>
    <t>C1:2000:GASOHOL 95 PLUS C2:1500:GASOHOL 97 PLUS C3:3000:GASOHOL 90 PLUS C4:1500:Diesel B5 S-50 </t>
  </si>
  <si>
    <t>4319:GAS LICUADO DE PETROLEO </t>
  </si>
  <si>
    <t>AMILCAR ALEJANDRO MANDUJANO PALOMINO</t>
  </si>
  <si>
    <t>14526-056-160719</t>
  </si>
  <si>
    <t>NUEVO MUNDO INVERSIONES S.A.C.</t>
  </si>
  <si>
    <t>PANAMERICANA SUR KM. 230.5 (AV. LOS FLAMENCOS MZ. D LOTE 2 Y 3 SUB-LOTE B Y C)</t>
  </si>
  <si>
    <t>C1:3000:GASOHOL 95 PLUS C2:3000:GASOHOL 84 PLUS </t>
  </si>
  <si>
    <t>CESAR LORENZO ZORRILLA SANCHEZ</t>
  </si>
  <si>
    <t>8278-056-160520</t>
  </si>
  <si>
    <t>CARRETERA FERNANDO BELAUNDE TERRY S/N KM. 1</t>
  </si>
  <si>
    <t>C1:7500:GASOLINA 84 </t>
  </si>
  <si>
    <t>C1:3250:GASOLINA 95 C2:3250:GASOLINA 90 </t>
  </si>
  <si>
    <t>8948-056-010716</t>
  </si>
  <si>
    <t>AUTOPASA E.I.R.L.</t>
  </si>
  <si>
    <t>CARRETERA PANAMERICANA SUR KM. 142.5</t>
  </si>
  <si>
    <t>BENITO ISMELIN FLORENCIO PEREZ</t>
  </si>
  <si>
    <t>146787-056-170520</t>
  </si>
  <si>
    <t>K &amp; R TRADING S.A.C.</t>
  </si>
  <si>
    <t>CARRETERA PANAMERICANA NORTE KM 1270</t>
  </si>
  <si>
    <t>C1:3900:GASOHOL 84 PLUS </t>
  </si>
  <si>
    <t>ARMANDO KOZIMA SUZUKI</t>
  </si>
  <si>
    <t>138229-056-060918</t>
  </si>
  <si>
    <t>SERVICIO VIRGEN DE COCHARCAS S.A.C.</t>
  </si>
  <si>
    <t>URB. LOS LAURELES, MZ. A LT. N° 1</t>
  </si>
  <si>
    <t>IMPERIAL</t>
  </si>
  <si>
    <t>DAVID JESUS DURAND BERNABE</t>
  </si>
  <si>
    <t>133274-056-180520</t>
  </si>
  <si>
    <t>ESTACIÓN DE SERVICIOS NARIHUALA S.A.C.</t>
  </si>
  <si>
    <t xml:space="preserve">CARRETERA PIURA SECHURA KM 15.5 PEDREGAL CHICO </t>
  </si>
  <si>
    <t>CARLOS VILLEGAS RAMIREZ</t>
  </si>
  <si>
    <t>9535-056-050820</t>
  </si>
  <si>
    <t>GRUPO ALMONACID S.A.C</t>
  </si>
  <si>
    <t>AV. ALMIRANTE GRAU N° 1300, ESQUINA CON LA CALLE VIGIL N° 335-355 (AV. BUENOS AIRES, ESQUINA CON LA CALLE VIGIL)</t>
  </si>
  <si>
    <t>C1:5000:GASOHOL 98 PLUS C2:5000:SIN PRODUCTO </t>
  </si>
  <si>
    <t>16722-056-190520</t>
  </si>
  <si>
    <t>SERVICENTRO EL TRIANGULO DE ORO S.R.L.</t>
  </si>
  <si>
    <t>CARRETERA PANAMERICANA NORTE KM. 1190</t>
  </si>
  <si>
    <t>EL ALTO</t>
  </si>
  <si>
    <t>C1:3020:GASOHOL 95 PLUS </t>
  </si>
  <si>
    <t>RODRIGUEZ SANCHEZ YOJANA MARINA</t>
  </si>
  <si>
    <t>16672-056-190419</t>
  </si>
  <si>
    <t>AV. JOSE BALTA Nº 012 Y CALLE LAS CASUARINAS Nº 120</t>
  </si>
  <si>
    <t>16622-056-180216</t>
  </si>
  <si>
    <t>SERVICENTRO SANTA CECILIA S.A.C.</t>
  </si>
  <si>
    <t>AV. BOLIVAR 499 ESQUINA CON JR. ISLAS HAWAI</t>
  </si>
  <si>
    <t>3600:GAS LICUADO DE PETROLEO </t>
  </si>
  <si>
    <t>ENRIQUE ANTONIO ALONSO ANDERSON</t>
  </si>
  <si>
    <t>9170-056-170717</t>
  </si>
  <si>
    <t>ISABEL YOVANA SANCHEZ INGARUCA</t>
  </si>
  <si>
    <t>AV. FRAY JERONIMO JIMENEZ N°219- URB. SAN CARLOS</t>
  </si>
  <si>
    <t>8696-056-020519</t>
  </si>
  <si>
    <t>AV. LOS INCAS N° 270</t>
  </si>
  <si>
    <t>C1:3786:Diesel B5 S-50 </t>
  </si>
  <si>
    <t>C1:4107:GASOHOL 95 PLUS </t>
  </si>
  <si>
    <t>C1:3785:GASOHOL 90 PLUS </t>
  </si>
  <si>
    <t>C1:2320:GASOHOL 90 PLUS </t>
  </si>
  <si>
    <t>19912-056-240716</t>
  </si>
  <si>
    <t>AV. TARMA Nº 762 INTERSECCION CON JR. SALAVERRY</t>
  </si>
  <si>
    <t>C1:2600:Diesel B5 S-50 C2:2600:GASOHOL 90 PLUS </t>
  </si>
  <si>
    <t>C1:3900:Diesel B5 S-50 C2:1300:GASOHOL 97 PLUS </t>
  </si>
  <si>
    <t>18503-056-250918</t>
  </si>
  <si>
    <t>NEGOCIACIONES LOS ANGELES S.A.C.</t>
  </si>
  <si>
    <t>AV. 28 DE JULIO Nº 400</t>
  </si>
  <si>
    <t>C1:1800:GASOHOL 97 PLUS C2:1800:GASOHOL 84 PLUS </t>
  </si>
  <si>
    <t>ROSARIO JACKELINE YANCE CANO</t>
  </si>
  <si>
    <t>16759-056-111219</t>
  </si>
  <si>
    <t>AV. PROLONGACION UNION Nº 1450, URB. RAZURI I ETAPA</t>
  </si>
  <si>
    <t>C1:2000:GASOHOL 90 PLUS C2:1000:GASOHOL 95 PLUS </t>
  </si>
  <si>
    <t>C1:5063:DIESEL B5 </t>
  </si>
  <si>
    <t>131681-056-120917</t>
  </si>
  <si>
    <t>GRUPO A&amp;E EMANUEL S.R.L.</t>
  </si>
  <si>
    <t>CARRETERA MARGINAL PICHANAQUI - SATIPO S/N SECTOR BAJO PICHANAQUI II ETAPA</t>
  </si>
  <si>
    <t>C1:1500:GASOHOL 84 PLUS C2:5000:GASOHOL 95 PLUS </t>
  </si>
  <si>
    <t>C1:6750:GASOHOL 90 PLUS </t>
  </si>
  <si>
    <t xml:space="preserve">CORREA ARROYO ABEL ADALBERTO </t>
  </si>
  <si>
    <t>98095-056-090819</t>
  </si>
  <si>
    <t>BILCON COMBUSTIBLES S.A.C.</t>
  </si>
  <si>
    <t>PROLONGACION AV. EL SOL MZ. I - 1, LOTE 01, SUB LOTE 1A, COOPERATIVA LAS VERTIENTES</t>
  </si>
  <si>
    <t>C1:1000:GASOHOL 95 PLUS C2:1000:GASOHOL 98 PLUS C3:1000:GASOHOL 95 PLUS </t>
  </si>
  <si>
    <t>100862-056-150919</t>
  </si>
  <si>
    <t xml:space="preserve">ELVIS ALBERTO ÑATO ORTIZ </t>
  </si>
  <si>
    <t>AV. CENTENARIO S/N ESQ. CON CALLE CEFERINO RAMIREZ</t>
  </si>
  <si>
    <t>C1:1200:GASOHOL 90 PLUS C2:1200:GASOHOL 95 PLUS C3:3000:Diesel B5 S-50 C4:600:GASOHOL 95 PLUS </t>
  </si>
  <si>
    <t>ELVIS ALBERTO ÑATO ORTIZ</t>
  </si>
  <si>
    <t>139741-056-160520</t>
  </si>
  <si>
    <t>ESTACION DE SERVICIOS EL CASTELLANO E.I.R.L.</t>
  </si>
  <si>
    <t>KM 252 CARRETERA A CHULUCANAS, AA.HH. VALLE DE LA ESPERANZA II, MZ. L, LOTE 01 (ESQ. GUARDIA CIVIL CON SANTA ROSA)</t>
  </si>
  <si>
    <t>ROMERO DE VEGAS JUANA MARIA</t>
  </si>
  <si>
    <t>9269-056-050416</t>
  </si>
  <si>
    <t xml:space="preserve">AV. PROGRESO Nº 981-991 ESQUINA CON CALLE ESPINAR </t>
  </si>
  <si>
    <t>109331-056-160916</t>
  </si>
  <si>
    <t>MULTISERVICIOS VELASQUEZ S.R.L.</t>
  </si>
  <si>
    <t>MZ. 35 LOTE 1, CP. GUADALUPE, SECTOR 1</t>
  </si>
  <si>
    <t>C1:12000:DIESEL B5,Diesel B5 S-50 </t>
  </si>
  <si>
    <t>15415-056-230419</t>
  </si>
  <si>
    <t>ESQUINA AVENIDA BOLOGNESI Y AVENIDA GRAU S/N</t>
  </si>
  <si>
    <t>8978-056-130717</t>
  </si>
  <si>
    <t>ESTACIÓN DE SERVICIOS MILAGRITOS &amp; JVC S.R.L</t>
  </si>
  <si>
    <t>AV. SALAVERRY N° 115, ESQUINA CON CALLE ACOSTA, PUEBLO TRADICIONAL LARA</t>
  </si>
  <si>
    <t>C1:3750:GASOHOL 90 PLUS </t>
  </si>
  <si>
    <t>VICENTE PAUL TEJADA GOMEZ</t>
  </si>
  <si>
    <t>64500-056-190517</t>
  </si>
  <si>
    <t>AV. JUAN PABLO II N° 1330, ESQUINA CON AV. LOS COLIBRIES URB. LAS PALMERAS DE SAN ANDRES</t>
  </si>
  <si>
    <t>20980-056-300720</t>
  </si>
  <si>
    <t xml:space="preserve">SERVICENTRO CELESTE S.A. </t>
  </si>
  <si>
    <t>AV. QUILCA S/N CUADRA 11, MZ. E, LT. 29, RESIDENCIAL AEROPUERTO, ESQ. CALLE SATURNO Y NEPTUNO</t>
  </si>
  <si>
    <t>ANA ISABEL VALERA MURO</t>
  </si>
  <si>
    <t>19945-056-161219</t>
  </si>
  <si>
    <t>AV. OSCAR R. BENAVIDES N° 1380</t>
  </si>
  <si>
    <t>40426-056-070720</t>
  </si>
  <si>
    <t>CARRETERA FERNANDO BELAUNDE TERRY KM 446 (EX KM. 457 + 227) SECTOR LA UNION</t>
  </si>
  <si>
    <t>C1:6000:Diesel B5 S-50 C2:4000:GASOLINA 95 </t>
  </si>
  <si>
    <t>21151-056-010520</t>
  </si>
  <si>
    <t>ESTACIÓN DE SERVICIOS SAN JOSE S.A.C.</t>
  </si>
  <si>
    <t xml:space="preserve">AV. IGNACIO MERINO MZ. F, LOTE 12 </t>
  </si>
  <si>
    <t>C1:6600:GASOHOL 95 PLUS </t>
  </si>
  <si>
    <t>C1:4000:Diesel B5 S-50 C2:2700:GASOHOL 84 PLUS </t>
  </si>
  <si>
    <t>GUNTER MARTÍN CASTILLO GALLO</t>
  </si>
  <si>
    <t>8915-056-170915</t>
  </si>
  <si>
    <t>ESTACIÓN DE SERVICIOS S.I. S.A.C.</t>
  </si>
  <si>
    <t>AV. MARISCAL CASTILLA Nº 4788</t>
  </si>
  <si>
    <t>C1:2100:GASOHOL 97 PLUS </t>
  </si>
  <si>
    <t>HORTENSIA MARTA SOLANO CHAVEZ</t>
  </si>
  <si>
    <t>127395-056-261119</t>
  </si>
  <si>
    <t>NUMERO DE PARCELA SUB LOTE A, CODIGO CATASTRAL SECTOR MONTALVAN, PROYECTO TERCER MUNDO VALLE CAÑETE</t>
  </si>
  <si>
    <t>C1:2500:GASOHOL 90 PLUS C2:2000:GASOHOL 95 PLUS C3:1500:GASOHOL 97 PLUS </t>
  </si>
  <si>
    <t>35408-056-300517</t>
  </si>
  <si>
    <t>ESQ. AV. PROCERES DE LA INDEPENDENCIA (EX-WIESSE) / AV. AMPLIACION MARISCAL CACERES MZ P15 LT 124</t>
  </si>
  <si>
    <t>34080-056-200616</t>
  </si>
  <si>
    <t>ANTONIO ARCE ALEGRIA</t>
  </si>
  <si>
    <t>AV. JOSE MARÍA ARGUEDAS N° 589</t>
  </si>
  <si>
    <t>APURIMAC</t>
  </si>
  <si>
    <t>ANDAHUAYLAS</t>
  </si>
  <si>
    <t>C1:2000:GASOHOL 90 PLUS C2:2000:GASOHOL 90 PLUS C3:2000:Diesel B5 S-50 </t>
  </si>
  <si>
    <t>6810-056-090617</t>
  </si>
  <si>
    <t>MZ. O - 6 LT. 46 MARISCAL CACERES</t>
  </si>
  <si>
    <t>137892-056-160519</t>
  </si>
  <si>
    <t>ESQ. AV. LOS ALISOS Y AV.MANUEL MUJICA GALLO LT 1A, 01, 02, 03, 04, 05 Y 36 DE LA MZ. A</t>
  </si>
  <si>
    <t>35892-056-230818</t>
  </si>
  <si>
    <t>AV. PANAMERICANA SUR Nº 350</t>
  </si>
  <si>
    <t>C1:6900:Diesel B5 S-50 </t>
  </si>
  <si>
    <t>C1:5375:GASOHOL 90 PLUS </t>
  </si>
  <si>
    <t>C1:5375:GASOHOL 98 PLUS </t>
  </si>
  <si>
    <t>33266-056-280918</t>
  </si>
  <si>
    <t>SUSANA MERCEDES PAREDES ALVARADO</t>
  </si>
  <si>
    <t>JR. BALTA N° 513</t>
  </si>
  <si>
    <t>CAJABAMBA</t>
  </si>
  <si>
    <t>C1:9100:Diesel B5 S-50 </t>
  </si>
  <si>
    <t>8977-056-130219</t>
  </si>
  <si>
    <t>GRIFO RAULITO S.R.L.</t>
  </si>
  <si>
    <t>JR. INDEPENDENCIA Nº 219</t>
  </si>
  <si>
    <t>FRESIA XIMENA CIPRIANO MARTEL</t>
  </si>
  <si>
    <t>9018-056-270319</t>
  </si>
  <si>
    <t xml:space="preserve">AERO GAS DEL NORTE S.A.C </t>
  </si>
  <si>
    <t>CARRETERA A SAN JOSE LIMITE VERDUM</t>
  </si>
  <si>
    <t>C1:2000:Diesel B5 S-50 C2:1000:GASOHOL 95 PLUS </t>
  </si>
  <si>
    <t>C1:2000:GASOHOL 90 PLUS C2:1000:GASOHOL 84 PLUS </t>
  </si>
  <si>
    <t>93611-056-100417</t>
  </si>
  <si>
    <t>SERVICENTRO SANTA MARIA E.I.R.L.</t>
  </si>
  <si>
    <t>AV. PAKAMUROS CUADRA 4 CON CALLE LOS ROBLES</t>
  </si>
  <si>
    <t>C1:3000:GASOHOL 84 PLUS C2:2000:GASOHOL 95 PLUS </t>
  </si>
  <si>
    <t>SEGUNDO JAVIER TROYA DELGADO</t>
  </si>
  <si>
    <t>149262-056-260820</t>
  </si>
  <si>
    <t xml:space="preserve">CARRETERA CENTRAL N° 099 </t>
  </si>
  <si>
    <t>ORCOTUNA</t>
  </si>
  <si>
    <t xml:space="preserve">DAVID DANIEL ROMANI RUPAY </t>
  </si>
  <si>
    <t>15232-056-080519</t>
  </si>
  <si>
    <t>AV. LOS INCAS Nº 1198 CON LA AV. GRAN CHIMU</t>
  </si>
  <si>
    <t>44489-056-250819</t>
  </si>
  <si>
    <t>SERVICENTRO BIZARRO E.I.R.L.</t>
  </si>
  <si>
    <t xml:space="preserve">ESQ. AV. LOS ARQUITECTOS Y AV. 225, MZ. A, LOTES 01, 23 Y 24. AA.HH. UPIS - CIUDAD PACHACUTEC </t>
  </si>
  <si>
    <t>C1:2021:Diesel B5 S-50 </t>
  </si>
  <si>
    <t>C1:1048:GASOHOL 95 PLUS C2:1048:GASOHOL 90 PLUS </t>
  </si>
  <si>
    <t>C1:2021:SIN PRODUCTO </t>
  </si>
  <si>
    <t>HERACLIO BIZARRO AUCCAPUCLLA</t>
  </si>
  <si>
    <t>108778-056-070514</t>
  </si>
  <si>
    <t>GRIFO CONCRETOS Y SERVICIOS VIALEMY S.A.C.</t>
  </si>
  <si>
    <t>VIA DE EVITAMIENTO S/N - KM 3</t>
  </si>
  <si>
    <t>C1:5410:Diesel B5 S-50 </t>
  </si>
  <si>
    <t>C1:3690:GASOHOL 95 PLUS </t>
  </si>
  <si>
    <t>C1:3670:GASOHOL 84 PLUS </t>
  </si>
  <si>
    <t>C1:3670:GASOHOL 90 PLUS </t>
  </si>
  <si>
    <t>VIVIANA DE LOS ANGELES RAMIREZ LUQUE</t>
  </si>
  <si>
    <t>40432-056-250711</t>
  </si>
  <si>
    <t>AV. PROLONGACION ARENALES 1995 SECTOR 01 - SIN HABILITACION URBANA</t>
  </si>
  <si>
    <t>C1:2000:GASOLINA 90 C2:2000:GASOLINA 84 </t>
  </si>
  <si>
    <t>131254-056-220817</t>
  </si>
  <si>
    <t>GAS STATION CHAUPIN S.A.C.</t>
  </si>
  <si>
    <t>MZ I 2 H.U. URB. RESIDENCIAL VILLA VICENTE 3ERA ETAPA</t>
  </si>
  <si>
    <t>ROSA NATALIA CHAUPIN FERNANDEZ</t>
  </si>
  <si>
    <t>136870-056-191118</t>
  </si>
  <si>
    <t>AV. CAMINO REAL MZ. 23 LOTE 8A P.J. MIRAFLORES BAJO (ESQUINA CON PROLONGACION JOSE OLAYA)</t>
  </si>
  <si>
    <t>C1:4250:GASOHOL 95 PLUS </t>
  </si>
  <si>
    <t>C1:1500:Diesel B5 S-50 C2:1500:GASOHOL 90 PLUS C3:1500:Diesel B5 S-50 </t>
  </si>
  <si>
    <t>34801-056-050918</t>
  </si>
  <si>
    <t>GRIFO NUEVO LURIN S.C.R.L.</t>
  </si>
  <si>
    <t>CALLE 5 MZ. F LT 01 URB. PROVIESA UNIVERSAL (NUEVO LURIN)</t>
  </si>
  <si>
    <t>C1:1200:GASOHOL 95 PLUS C2:1200:GASOHOL 90 PLUS </t>
  </si>
  <si>
    <t>C1:1200:GASOHOL 97 PLUS </t>
  </si>
  <si>
    <t>LUIS BARRIENTOS SULLA</t>
  </si>
  <si>
    <t>42912-056-190419</t>
  </si>
  <si>
    <t>CARRETERA PANAMERICANA NORTE KM 779+400</t>
  </si>
  <si>
    <t>16720-056-060120</t>
  </si>
  <si>
    <t>ESTACION DE SERVICIOS FORMULA UNO SAC</t>
  </si>
  <si>
    <t>AVENIDA EUFEMIO LORA Y LORA, PASAJE ITURREGUI Y CALLE FRANCISCO CUNEO</t>
  </si>
  <si>
    <t>C1:2500:GASOHOL 90 PLUS C2:2500:Diesel B5 S-50 </t>
  </si>
  <si>
    <t>JESUS MANUEL ZUÑIGA DIAZ</t>
  </si>
  <si>
    <t>35102-056-180417</t>
  </si>
  <si>
    <t>GRIFO JOAR S.R.L.</t>
  </si>
  <si>
    <t>AV. SAN MARTIN N° 035 CERCADO CDRA. 1</t>
  </si>
  <si>
    <t>C1:1900:GASOHOL 84 PLUS </t>
  </si>
  <si>
    <t>C1:1900:GASOHOL 97 PLUS </t>
  </si>
  <si>
    <t>C1:6000:Diesel B5 S-50 C2:4000:GASOHOL 90 PLUS </t>
  </si>
  <si>
    <t>WILMER ANTONIO ARMAS RAMOS</t>
  </si>
  <si>
    <t>40270-056-270318</t>
  </si>
  <si>
    <t>ESCOLMENA E.I.R.L.</t>
  </si>
  <si>
    <t>ESQ. AV. 28 DE JULIO CON AV. MAX HONGLER</t>
  </si>
  <si>
    <t>C1:1400:Diesel B5 S-50 C2:1617:GASOHOL 95 PLUS C3:1000:GASOHOL 90 PLUS </t>
  </si>
  <si>
    <t>C1:700:GASOHOL 90 PLUS </t>
  </si>
  <si>
    <t>ALEJANDRA CASTAÑEDA JIMENEZ</t>
  </si>
  <si>
    <t>20110-056-210118</t>
  </si>
  <si>
    <t>ESTACION DE SERVICIOS SAN PEDRITO J.Z.A. E.I.R.L.</t>
  </si>
  <si>
    <t>CARRETERA FEDERICO BASADRE KM. 163.5 PAMPA YURAC</t>
  </si>
  <si>
    <t>C1:3800:GASOLINA 90 </t>
  </si>
  <si>
    <t>C1:2000:GASOLINA 95 </t>
  </si>
  <si>
    <t>C1:5800:DIESEL B5 </t>
  </si>
  <si>
    <t>JORGE ZEVALLOS ACOSTA</t>
  </si>
  <si>
    <t>17894-056-280518</t>
  </si>
  <si>
    <t>ESTACION DE SERVICIOS INVERSIONES NIKAROLE S.A.C.</t>
  </si>
  <si>
    <t>AV. LARCO N° 211 PUEBLO CHOCOPE (INTERSECCION CALLE VICTOR LARCO Y AV. ESCOLAR)</t>
  </si>
  <si>
    <t>NILA ESPERANZA SAENZ PALSENCIA</t>
  </si>
  <si>
    <t>7486-056-150219</t>
  </si>
  <si>
    <t>CHECAPET S.R.L.</t>
  </si>
  <si>
    <t>AV. LARCO N° 193 URB. EL RECEO</t>
  </si>
  <si>
    <t xml:space="preserve">PEDRO ANTONIO TAM VELARDE </t>
  </si>
  <si>
    <t>107824-056-170120</t>
  </si>
  <si>
    <t>JORGE JESUS PAYANO POMALAZA</t>
  </si>
  <si>
    <t>CARRETERA MARGINAL S/N, CPM NIJANDARIS</t>
  </si>
  <si>
    <t>C1:2377:GASOHOL 90 PLUS </t>
  </si>
  <si>
    <t>C1:1876:Diesel B5 S-50 </t>
  </si>
  <si>
    <t>C1:1815:GASOHOL 97 PLUS </t>
  </si>
  <si>
    <t>17850-056-291216</t>
  </si>
  <si>
    <t>JR. VIÑA DEL RIO 061</t>
  </si>
  <si>
    <t>C1:2500:DIESEL B5 </t>
  </si>
  <si>
    <t>RAUL CIPRIANO TUCTO</t>
  </si>
  <si>
    <t>9632-056-300916</t>
  </si>
  <si>
    <t>SEGUNDO BELLO RAMIREZ</t>
  </si>
  <si>
    <t>ESQ. AV. CANTA CALLAO CON AV. LA CORDIALIDAD. MZ. A-5 LT. 17, URB. PRO-2DA ETAPA</t>
  </si>
  <si>
    <t>C1:3500:GASOHOL 90 PLUS C2:2000:GASOHOL 95 PLUS C3:1000:GASOHOL 84 PLUS </t>
  </si>
  <si>
    <t>C1:1200:GASOHOL 98 PLUS </t>
  </si>
  <si>
    <t>FLORMIRA BELLO MEJIA</t>
  </si>
  <si>
    <t>142938-056-290619</t>
  </si>
  <si>
    <t xml:space="preserve">AV. MEXICO N° 2383 INTERSECCION CON JR. VIRREY LA SERNA </t>
  </si>
  <si>
    <t>C1:4900:GASOHOL 95 PLUS </t>
  </si>
  <si>
    <t>90240-056-121219</t>
  </si>
  <si>
    <t>CARRETERA PANAMERICANA NORTE KM 777</t>
  </si>
  <si>
    <t>C1:6000:Diesel B5 S-50 C2:2500:Diesel B5 S-50 </t>
  </si>
  <si>
    <t>21450-056-090617</t>
  </si>
  <si>
    <t>DISTRIBUCIONES GENERALES SEÑOR DE LOS MILAGROS SOCIEDAD ANONIMA CERRADA</t>
  </si>
  <si>
    <t>AV. VON HUMBOLT S/N, FUNDO LA PAMPA, PAGO ARUNTA, LOTES A-B</t>
  </si>
  <si>
    <t>C1:3000:GASOHOL 90 PLUS C2:3000:GASOHOL 95 PLUS C3:2000:GASOHOL 84 PLUS </t>
  </si>
  <si>
    <t>105925-056-040419</t>
  </si>
  <si>
    <t>ESTACION DE SERVICIOS LAUROS II S.A.C.</t>
  </si>
  <si>
    <t>CARRETERA SECHURA PARACHIQUE KM. 4</t>
  </si>
  <si>
    <t>JOSE GILBERTO PAZO NONURA</t>
  </si>
  <si>
    <t>122132-056-141118</t>
  </si>
  <si>
    <t>ESTACION DE SERVICIOS Y GASOCENTRO EL SOL S.C.R.L.</t>
  </si>
  <si>
    <t>AV. MARISCAL CASTILLA MZ. N LOTE 2</t>
  </si>
  <si>
    <t>TINYAHUARCO</t>
  </si>
  <si>
    <t>GRACIELA HUAMAN CORDOVA</t>
  </si>
  <si>
    <t>92106-056-101219</t>
  </si>
  <si>
    <t xml:space="preserve">AV. JOSE CARLOS MARIATEGUI N° 600 </t>
  </si>
  <si>
    <t>C1:10210:DIESEL B5 </t>
  </si>
  <si>
    <t>C1:5035:GASOHOL 84 PLUS C2:5063:GASOHOL 90 PLUS </t>
  </si>
  <si>
    <t>C1:2524:GASOHOL 97 PLUS C2:2861:GASOHOL 95 PLUS C3:4923:GASOHOL 95 PLUS </t>
  </si>
  <si>
    <t>130331-056-080717</t>
  </si>
  <si>
    <t>EL FIEL INCOMPRENDIDO S.A.C.</t>
  </si>
  <si>
    <t>SUB LOTE A-1, SECTOR PAMPA LOS LOBOS, ALTUTRA KM. 130, CARRETERA PANAMERICANA SUR</t>
  </si>
  <si>
    <t>ROBERT WIL OBREGON QUEZADA</t>
  </si>
  <si>
    <t>122065-056-070819</t>
  </si>
  <si>
    <t>PETROENERGIAS EL ROI S.A.C.</t>
  </si>
  <si>
    <t>AV. FERROCARRIL N° 2802</t>
  </si>
  <si>
    <t>C1:2000:GASOHOL 95 PLUS C2:4000:GASOHOL 90 PLUS C3:2000:GASOHOL 97 PLUS </t>
  </si>
  <si>
    <t>106964-056-110920</t>
  </si>
  <si>
    <t>ESTACIÓN DE SERVICIOS PEDREGAL SUR S.R.L.</t>
  </si>
  <si>
    <t>HABILITACIÓN URBANA LT. 491-A, MZ. G1 LT. 1 Y 2</t>
  </si>
  <si>
    <t>CLARIZA NATALIA ALEGRE MENDOZA</t>
  </si>
  <si>
    <t>16761-056-010818</t>
  </si>
  <si>
    <t>ESTACION DE SERVICIOS SUD AMERICA DEL ORIENTE E.I.R.L.</t>
  </si>
  <si>
    <t>AV. CAJAMARCA SUR S/N - CARRETERA FERNANDO BELAUNDE TERRY KM. 462</t>
  </si>
  <si>
    <t>C1:4600:GASOLINA 90 C2:4600:GASOLINA 90 </t>
  </si>
  <si>
    <t>C1:9200:GASOLINA 84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</si>
</sst>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wrapText="1"/>
    </xf>
    <xf numFmtId="14" fontId="0" fillId="34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14" fontId="0" fillId="35" borderId="10" xfId="0" applyNumberFormat="1" applyFill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srvtest03.osinerg.gob.pe:23314/msfh5/images/Logo-azu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764275</xdr:colOff>
      <xdr:row>3</xdr:row>
      <xdr:rowOff>47767</xdr:rowOff>
    </xdr:to>
    <xdr:pic>
      <xdr:nvPicPr>
        <xdr:cNvPr id="1025" name="Picture 1" descr="Logo Osinergmin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70997" cy="58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40"/>
  <sheetViews>
    <sheetView showGridLines="0" tabSelected="1" workbookViewId="0">
      <selection activeCell="F3" sqref="F3"/>
    </sheetView>
  </sheetViews>
  <sheetFormatPr baseColWidth="10" defaultRowHeight="14" x14ac:dyDescent="0.3"/>
  <cols>
    <col min="1" max="1" width="4.8984375" customWidth="1"/>
    <col min="2" max="2" width="13.796875" customWidth="1"/>
    <col min="3" max="3" width="19.5" bestFit="1" customWidth="1"/>
    <col min="4" max="4" width="17.19921875" bestFit="1" customWidth="1"/>
    <col min="5" max="5" width="11.8984375" bestFit="1" customWidth="1"/>
    <col min="6" max="7" width="44.796875" bestFit="1" customWidth="1"/>
    <col min="8" max="9" width="23.09765625" bestFit="1" customWidth="1"/>
    <col min="10" max="10" width="38.59765625" bestFit="1" customWidth="1"/>
    <col min="11" max="11" width="43" bestFit="1" customWidth="1"/>
    <col min="12" max="20" width="44.796875" bestFit="1" customWidth="1"/>
    <col min="21" max="23" width="29.19921875" bestFit="1" customWidth="1"/>
    <col min="24" max="25" width="20.59765625" bestFit="1" customWidth="1"/>
    <col min="26" max="26" width="29.19921875" bestFit="1" customWidth="1"/>
    <col min="27" max="27" width="16.8984375" bestFit="1" customWidth="1"/>
    <col min="28" max="28" width="18.19921875" bestFit="1" customWidth="1"/>
    <col min="29" max="29" width="12.19921875" bestFit="1" customWidth="1"/>
    <col min="30" max="30" width="20.3984375" bestFit="1" customWidth="1"/>
    <col min="31" max="31" width="44.796875" bestFit="1" customWidth="1"/>
    <col min="32" max="32" width="16.3984375" bestFit="1" customWidth="1"/>
  </cols>
  <sheetData>
    <row r="2" spans="1:32" ht="14" customHeight="1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6" spans="1:32" x14ac:dyDescent="0.3">
      <c r="A6" s="1" t="s">
        <v>1</v>
      </c>
      <c r="B6" s="2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  <c r="J6" s="1" t="s">
        <v>10</v>
      </c>
      <c r="K6" s="1" t="s">
        <v>11</v>
      </c>
      <c r="L6" s="1" t="s">
        <v>12</v>
      </c>
      <c r="M6" s="1" t="s">
        <v>13</v>
      </c>
      <c r="N6" s="1" t="s">
        <v>14</v>
      </c>
      <c r="O6" s="1" t="s">
        <v>15</v>
      </c>
      <c r="P6" s="1" t="s">
        <v>16</v>
      </c>
      <c r="Q6" s="1" t="s">
        <v>17</v>
      </c>
      <c r="R6" s="1" t="s">
        <v>18</v>
      </c>
      <c r="S6" s="1" t="s">
        <v>19</v>
      </c>
      <c r="T6" s="1" t="s">
        <v>20</v>
      </c>
      <c r="U6" s="1" t="s">
        <v>21</v>
      </c>
      <c r="V6" s="1" t="s">
        <v>22</v>
      </c>
      <c r="W6" s="1" t="s">
        <v>23</v>
      </c>
      <c r="X6" s="1" t="s">
        <v>24</v>
      </c>
      <c r="Y6" s="1" t="s">
        <v>25</v>
      </c>
      <c r="Z6" s="1" t="s">
        <v>26</v>
      </c>
      <c r="AA6" s="1" t="s">
        <v>27</v>
      </c>
      <c r="AB6" s="1" t="s">
        <v>28</v>
      </c>
      <c r="AC6" s="1" t="s">
        <v>29</v>
      </c>
      <c r="AD6" s="1" t="s">
        <v>30</v>
      </c>
      <c r="AE6" s="1" t="s">
        <v>31</v>
      </c>
      <c r="AF6" s="1" t="s">
        <v>32</v>
      </c>
    </row>
    <row r="7" spans="1:32" ht="27.95" x14ac:dyDescent="0.3">
      <c r="A7" s="3">
        <v>1</v>
      </c>
      <c r="B7" s="3" t="str">
        <f>"201600146297"</f>
        <v>201600146297</v>
      </c>
      <c r="C7" s="3" t="str">
        <f>"120066"</f>
        <v>120066</v>
      </c>
      <c r="D7" s="3" t="s">
        <v>33</v>
      </c>
      <c r="E7" s="3">
        <v>20480082321</v>
      </c>
      <c r="F7" s="3" t="s">
        <v>34</v>
      </c>
      <c r="G7" s="3" t="s">
        <v>35</v>
      </c>
      <c r="H7" s="3" t="s">
        <v>36</v>
      </c>
      <c r="I7" s="3" t="s">
        <v>36</v>
      </c>
      <c r="J7" s="3" t="s">
        <v>36</v>
      </c>
      <c r="K7" s="3" t="s">
        <v>37</v>
      </c>
      <c r="L7" s="3" t="s">
        <v>38</v>
      </c>
      <c r="M7" s="3" t="s">
        <v>38</v>
      </c>
      <c r="N7" s="3" t="s">
        <v>39</v>
      </c>
      <c r="O7" s="3" t="s">
        <v>40</v>
      </c>
      <c r="P7" s="3" t="s">
        <v>41</v>
      </c>
      <c r="Q7" s="3"/>
      <c r="R7" s="3"/>
      <c r="S7" s="3"/>
      <c r="T7" s="3"/>
      <c r="U7" s="3"/>
      <c r="V7" s="3"/>
      <c r="W7" s="3"/>
      <c r="X7" s="3"/>
      <c r="Y7" s="3"/>
      <c r="Z7" s="3"/>
      <c r="AA7" s="3">
        <v>33342</v>
      </c>
      <c r="AB7" s="3">
        <v>10000</v>
      </c>
      <c r="AC7" s="4">
        <v>42663</v>
      </c>
      <c r="AD7" s="3" t="s">
        <v>42</v>
      </c>
      <c r="AE7" s="3" t="s">
        <v>43</v>
      </c>
      <c r="AF7" s="3">
        <v>0</v>
      </c>
    </row>
    <row r="8" spans="1:32" ht="27.95" x14ac:dyDescent="0.3">
      <c r="A8" s="5">
        <v>2</v>
      </c>
      <c r="B8" s="5" t="str">
        <f>"201600125383"</f>
        <v>201600125383</v>
      </c>
      <c r="C8" s="5" t="str">
        <f>"18373"</f>
        <v>18373</v>
      </c>
      <c r="D8" s="5" t="s">
        <v>44</v>
      </c>
      <c r="E8" s="5">
        <v>10215437561</v>
      </c>
      <c r="F8" s="5" t="s">
        <v>45</v>
      </c>
      <c r="G8" s="5" t="s">
        <v>46</v>
      </c>
      <c r="H8" s="5" t="s">
        <v>47</v>
      </c>
      <c r="I8" s="5" t="s">
        <v>47</v>
      </c>
      <c r="J8" s="5" t="s">
        <v>48</v>
      </c>
      <c r="K8" s="5" t="s">
        <v>37</v>
      </c>
      <c r="L8" s="5" t="s">
        <v>49</v>
      </c>
      <c r="M8" s="5" t="s">
        <v>50</v>
      </c>
      <c r="N8" s="5" t="s">
        <v>51</v>
      </c>
      <c r="O8" s="5" t="s">
        <v>52</v>
      </c>
      <c r="P8" s="5" t="s">
        <v>53</v>
      </c>
      <c r="Q8" s="5" t="s">
        <v>54</v>
      </c>
      <c r="R8" s="5"/>
      <c r="S8" s="5"/>
      <c r="T8" s="5"/>
      <c r="U8" s="5"/>
      <c r="V8" s="5"/>
      <c r="W8" s="5"/>
      <c r="X8" s="5"/>
      <c r="Y8" s="5"/>
      <c r="Z8" s="5"/>
      <c r="AA8" s="5">
        <v>31000</v>
      </c>
      <c r="AB8" s="5">
        <v>4000</v>
      </c>
      <c r="AC8" s="6">
        <v>42613</v>
      </c>
      <c r="AD8" s="5" t="s">
        <v>42</v>
      </c>
      <c r="AE8" s="5" t="s">
        <v>45</v>
      </c>
      <c r="AF8" s="5">
        <v>200</v>
      </c>
    </row>
    <row r="9" spans="1:32" x14ac:dyDescent="0.3">
      <c r="A9" s="3">
        <v>3</v>
      </c>
      <c r="B9" s="3" t="str">
        <f>"201600150923"</f>
        <v>201600150923</v>
      </c>
      <c r="C9" s="3" t="str">
        <f>"9364"</f>
        <v>9364</v>
      </c>
      <c r="D9" s="3" t="s">
        <v>55</v>
      </c>
      <c r="E9" s="3">
        <v>20509054208</v>
      </c>
      <c r="F9" s="3" t="s">
        <v>56</v>
      </c>
      <c r="G9" s="3" t="s">
        <v>57</v>
      </c>
      <c r="H9" s="3" t="s">
        <v>58</v>
      </c>
      <c r="I9" s="3" t="s">
        <v>58</v>
      </c>
      <c r="J9" s="3" t="s">
        <v>59</v>
      </c>
      <c r="K9" s="3" t="s">
        <v>37</v>
      </c>
      <c r="L9" s="3" t="s">
        <v>60</v>
      </c>
      <c r="M9" s="3" t="s">
        <v>60</v>
      </c>
      <c r="N9" s="3" t="s">
        <v>61</v>
      </c>
      <c r="O9" s="3" t="s">
        <v>53</v>
      </c>
      <c r="P9" s="3" t="s">
        <v>62</v>
      </c>
      <c r="Q9" s="3" t="s">
        <v>63</v>
      </c>
      <c r="R9" s="3" t="s">
        <v>62</v>
      </c>
      <c r="S9" s="3" t="s">
        <v>64</v>
      </c>
      <c r="T9" s="3" t="s">
        <v>65</v>
      </c>
      <c r="U9" s="3" t="s">
        <v>62</v>
      </c>
      <c r="V9" s="3" t="s">
        <v>66</v>
      </c>
      <c r="W9" s="3"/>
      <c r="X9" s="3"/>
      <c r="Y9" s="3"/>
      <c r="Z9" s="3"/>
      <c r="AA9" s="3">
        <v>60000</v>
      </c>
      <c r="AB9" s="3">
        <v>4500</v>
      </c>
      <c r="AC9" s="4">
        <v>42668</v>
      </c>
      <c r="AD9" s="3" t="s">
        <v>42</v>
      </c>
      <c r="AE9" s="3" t="s">
        <v>67</v>
      </c>
      <c r="AF9" s="3">
        <v>0</v>
      </c>
    </row>
    <row r="10" spans="1:32" ht="27.95" x14ac:dyDescent="0.3">
      <c r="A10" s="5">
        <v>4</v>
      </c>
      <c r="B10" s="5" t="str">
        <f>"201900132107"</f>
        <v>201900132107</v>
      </c>
      <c r="C10" s="5" t="str">
        <f>"9288"</f>
        <v>9288</v>
      </c>
      <c r="D10" s="5" t="s">
        <v>68</v>
      </c>
      <c r="E10" s="5">
        <v>20512228144</v>
      </c>
      <c r="F10" s="5" t="s">
        <v>69</v>
      </c>
      <c r="G10" s="5" t="s">
        <v>70</v>
      </c>
      <c r="H10" s="5" t="s">
        <v>58</v>
      </c>
      <c r="I10" s="5" t="s">
        <v>58</v>
      </c>
      <c r="J10" s="5" t="s">
        <v>71</v>
      </c>
      <c r="K10" s="5" t="s">
        <v>37</v>
      </c>
      <c r="L10" s="5" t="s">
        <v>72</v>
      </c>
      <c r="M10" s="5" t="s">
        <v>73</v>
      </c>
      <c r="N10" s="5" t="s">
        <v>74</v>
      </c>
      <c r="O10" s="5" t="s">
        <v>75</v>
      </c>
      <c r="P10" s="5" t="s">
        <v>76</v>
      </c>
      <c r="Q10" s="5" t="s">
        <v>77</v>
      </c>
      <c r="R10" s="5" t="s">
        <v>78</v>
      </c>
      <c r="S10" s="5"/>
      <c r="T10" s="5"/>
      <c r="U10" s="5"/>
      <c r="V10" s="5"/>
      <c r="W10" s="5"/>
      <c r="X10" s="5"/>
      <c r="Y10" s="5"/>
      <c r="Z10" s="5"/>
      <c r="AA10" s="5">
        <v>26700</v>
      </c>
      <c r="AB10" s="5">
        <v>3200</v>
      </c>
      <c r="AC10" s="6">
        <v>43693</v>
      </c>
      <c r="AD10" s="5" t="s">
        <v>42</v>
      </c>
      <c r="AE10" s="5" t="s">
        <v>79</v>
      </c>
      <c r="AF10" s="5">
        <v>240</v>
      </c>
    </row>
    <row r="11" spans="1:32" ht="27.95" x14ac:dyDescent="0.3">
      <c r="A11" s="3">
        <v>5</v>
      </c>
      <c r="B11" s="3" t="str">
        <f>"201900167276"</f>
        <v>201900167276</v>
      </c>
      <c r="C11" s="3" t="str">
        <f>"124621"</f>
        <v>124621</v>
      </c>
      <c r="D11" s="3" t="s">
        <v>80</v>
      </c>
      <c r="E11" s="3">
        <v>20600351762</v>
      </c>
      <c r="F11" s="3" t="s">
        <v>81</v>
      </c>
      <c r="G11" s="3" t="s">
        <v>82</v>
      </c>
      <c r="H11" s="3" t="s">
        <v>47</v>
      </c>
      <c r="I11" s="3" t="s">
        <v>47</v>
      </c>
      <c r="J11" s="3" t="s">
        <v>83</v>
      </c>
      <c r="K11" s="3" t="s">
        <v>37</v>
      </c>
      <c r="L11" s="3" t="s">
        <v>84</v>
      </c>
      <c r="M11" s="3" t="s">
        <v>63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>
        <v>10000</v>
      </c>
      <c r="AB11" s="3">
        <v>4500</v>
      </c>
      <c r="AC11" s="4">
        <v>43752</v>
      </c>
      <c r="AD11" s="3" t="s">
        <v>42</v>
      </c>
      <c r="AE11" s="3" t="s">
        <v>85</v>
      </c>
      <c r="AF11" s="3">
        <v>240</v>
      </c>
    </row>
    <row r="12" spans="1:32" ht="27.95" x14ac:dyDescent="0.3">
      <c r="A12" s="5">
        <v>6</v>
      </c>
      <c r="B12" s="5" t="str">
        <f>"201800010120"</f>
        <v>201800010120</v>
      </c>
      <c r="C12" s="5" t="str">
        <f>"92270"</f>
        <v>92270</v>
      </c>
      <c r="D12" s="5" t="s">
        <v>86</v>
      </c>
      <c r="E12" s="5">
        <v>20452778875</v>
      </c>
      <c r="F12" s="5" t="s">
        <v>87</v>
      </c>
      <c r="G12" s="5" t="s">
        <v>88</v>
      </c>
      <c r="H12" s="5" t="s">
        <v>89</v>
      </c>
      <c r="I12" s="5" t="s">
        <v>90</v>
      </c>
      <c r="J12" s="5" t="s">
        <v>91</v>
      </c>
      <c r="K12" s="5" t="s">
        <v>37</v>
      </c>
      <c r="L12" s="5" t="s">
        <v>92</v>
      </c>
      <c r="M12" s="5" t="s">
        <v>93</v>
      </c>
      <c r="N12" s="5" t="s">
        <v>94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15979</v>
      </c>
      <c r="AB12" s="5">
        <v>5000</v>
      </c>
      <c r="AC12" s="6">
        <v>43122</v>
      </c>
      <c r="AD12" s="5" t="s">
        <v>42</v>
      </c>
      <c r="AE12" s="5" t="s">
        <v>95</v>
      </c>
      <c r="AF12" s="5">
        <v>0</v>
      </c>
    </row>
    <row r="13" spans="1:32" ht="27.95" x14ac:dyDescent="0.3">
      <c r="A13" s="3">
        <v>7</v>
      </c>
      <c r="B13" s="3" t="str">
        <f>"201800199205"</f>
        <v>201800199205</v>
      </c>
      <c r="C13" s="3" t="str">
        <f>"17905"</f>
        <v>17905</v>
      </c>
      <c r="D13" s="3" t="s">
        <v>96</v>
      </c>
      <c r="E13" s="3">
        <v>20348783743</v>
      </c>
      <c r="F13" s="3" t="s">
        <v>97</v>
      </c>
      <c r="G13" s="3" t="s">
        <v>98</v>
      </c>
      <c r="H13" s="3" t="s">
        <v>58</v>
      </c>
      <c r="I13" s="3" t="s">
        <v>58</v>
      </c>
      <c r="J13" s="3" t="s">
        <v>99</v>
      </c>
      <c r="K13" s="3" t="s">
        <v>37</v>
      </c>
      <c r="L13" s="3" t="s">
        <v>100</v>
      </c>
      <c r="M13" s="3" t="s">
        <v>101</v>
      </c>
      <c r="N13" s="3" t="s">
        <v>102</v>
      </c>
      <c r="O13" s="3" t="s">
        <v>103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15000</v>
      </c>
      <c r="AB13" s="3">
        <v>2500</v>
      </c>
      <c r="AC13" s="4">
        <v>43439</v>
      </c>
      <c r="AD13" s="3" t="s">
        <v>42</v>
      </c>
      <c r="AE13" s="3" t="s">
        <v>104</v>
      </c>
      <c r="AF13" s="3">
        <v>0</v>
      </c>
    </row>
    <row r="14" spans="1:32" ht="27.95" x14ac:dyDescent="0.3">
      <c r="A14" s="5">
        <v>8</v>
      </c>
      <c r="B14" s="5" t="str">
        <f>"201900211485"</f>
        <v>201900211485</v>
      </c>
      <c r="C14" s="5" t="str">
        <f>"104536"</f>
        <v>104536</v>
      </c>
      <c r="D14" s="5" t="s">
        <v>105</v>
      </c>
      <c r="E14" s="5">
        <v>20569080640</v>
      </c>
      <c r="F14" s="5" t="s">
        <v>106</v>
      </c>
      <c r="G14" s="5" t="s">
        <v>107</v>
      </c>
      <c r="H14" s="5" t="s">
        <v>108</v>
      </c>
      <c r="I14" s="5" t="s">
        <v>109</v>
      </c>
      <c r="J14" s="5" t="s">
        <v>109</v>
      </c>
      <c r="K14" s="5" t="s">
        <v>37</v>
      </c>
      <c r="L14" s="5" t="s">
        <v>110</v>
      </c>
      <c r="M14" s="5" t="s">
        <v>111</v>
      </c>
      <c r="N14" s="5" t="s">
        <v>94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>
        <v>13000</v>
      </c>
      <c r="AB14" s="5">
        <v>5000</v>
      </c>
      <c r="AC14" s="6">
        <v>43818</v>
      </c>
      <c r="AD14" s="5" t="s">
        <v>42</v>
      </c>
      <c r="AE14" s="5" t="s">
        <v>112</v>
      </c>
      <c r="AF14" s="5">
        <v>0</v>
      </c>
    </row>
    <row r="15" spans="1:32" ht="27.95" x14ac:dyDescent="0.3">
      <c r="A15" s="3">
        <v>9</v>
      </c>
      <c r="B15" s="3" t="str">
        <f>"201800104826"</f>
        <v>201800104826</v>
      </c>
      <c r="C15" s="3" t="str">
        <f>"41569"</f>
        <v>41569</v>
      </c>
      <c r="D15" s="3" t="s">
        <v>113</v>
      </c>
      <c r="E15" s="3">
        <v>20571407630</v>
      </c>
      <c r="F15" s="3" t="s">
        <v>114</v>
      </c>
      <c r="G15" s="3" t="s">
        <v>115</v>
      </c>
      <c r="H15" s="3" t="s">
        <v>116</v>
      </c>
      <c r="I15" s="3" t="s">
        <v>117</v>
      </c>
      <c r="J15" s="3" t="s">
        <v>118</v>
      </c>
      <c r="K15" s="3" t="s">
        <v>37</v>
      </c>
      <c r="L15" s="3" t="s">
        <v>63</v>
      </c>
      <c r="M15" s="3" t="s">
        <v>119</v>
      </c>
      <c r="N15" s="3" t="s">
        <v>120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v>12000</v>
      </c>
      <c r="AB15" s="3">
        <v>3500</v>
      </c>
      <c r="AC15" s="4">
        <v>43277</v>
      </c>
      <c r="AD15" s="3" t="s">
        <v>42</v>
      </c>
      <c r="AE15" s="3" t="s">
        <v>121</v>
      </c>
      <c r="AF15" s="3">
        <v>0</v>
      </c>
    </row>
    <row r="16" spans="1:32" ht="27.95" x14ac:dyDescent="0.3">
      <c r="A16" s="5">
        <v>10</v>
      </c>
      <c r="B16" s="5" t="str">
        <f>"201800013716"</f>
        <v>201800013716</v>
      </c>
      <c r="C16" s="5" t="str">
        <f>"8292"</f>
        <v>8292</v>
      </c>
      <c r="D16" s="5" t="s">
        <v>122</v>
      </c>
      <c r="E16" s="5">
        <v>20542595061</v>
      </c>
      <c r="F16" s="5" t="s">
        <v>123</v>
      </c>
      <c r="G16" s="5" t="s">
        <v>124</v>
      </c>
      <c r="H16" s="5" t="s">
        <v>125</v>
      </c>
      <c r="I16" s="5" t="s">
        <v>125</v>
      </c>
      <c r="J16" s="5" t="s">
        <v>126</v>
      </c>
      <c r="K16" s="5" t="s">
        <v>37</v>
      </c>
      <c r="L16" s="5" t="s">
        <v>127</v>
      </c>
      <c r="M16" s="5" t="s">
        <v>128</v>
      </c>
      <c r="N16" s="5" t="s">
        <v>129</v>
      </c>
      <c r="O16" s="5" t="s">
        <v>94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>
        <v>13500</v>
      </c>
      <c r="AB16" s="5">
        <v>5000</v>
      </c>
      <c r="AC16" s="6">
        <v>43130</v>
      </c>
      <c r="AD16" s="5" t="s">
        <v>42</v>
      </c>
      <c r="AE16" s="5" t="s">
        <v>130</v>
      </c>
      <c r="AF16" s="5">
        <v>0</v>
      </c>
    </row>
    <row r="17" spans="1:32" ht="27.95" x14ac:dyDescent="0.3">
      <c r="A17" s="3">
        <v>11</v>
      </c>
      <c r="B17" s="3" t="str">
        <f>"202000066507"</f>
        <v>202000066507</v>
      </c>
      <c r="C17" s="3" t="str">
        <f>"40852"</f>
        <v>40852</v>
      </c>
      <c r="D17" s="3" t="s">
        <v>131</v>
      </c>
      <c r="E17" s="3">
        <v>20480537425</v>
      </c>
      <c r="F17" s="3" t="s">
        <v>132</v>
      </c>
      <c r="G17" s="3" t="s">
        <v>133</v>
      </c>
      <c r="H17" s="3" t="s">
        <v>134</v>
      </c>
      <c r="I17" s="3" t="s">
        <v>135</v>
      </c>
      <c r="J17" s="3" t="s">
        <v>135</v>
      </c>
      <c r="K17" s="3" t="s">
        <v>37</v>
      </c>
      <c r="L17" s="3" t="s">
        <v>136</v>
      </c>
      <c r="M17" s="3" t="s">
        <v>137</v>
      </c>
      <c r="N17" s="3" t="s">
        <v>138</v>
      </c>
      <c r="O17" s="3" t="s">
        <v>139</v>
      </c>
      <c r="P17" s="3" t="s">
        <v>94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>
        <v>12296</v>
      </c>
      <c r="AB17" s="3">
        <v>5000</v>
      </c>
      <c r="AC17" s="4">
        <v>44005</v>
      </c>
      <c r="AD17" s="3" t="s">
        <v>42</v>
      </c>
      <c r="AE17" s="3" t="s">
        <v>140</v>
      </c>
      <c r="AF17" s="3">
        <v>0</v>
      </c>
    </row>
    <row r="18" spans="1:32" ht="27.95" x14ac:dyDescent="0.3">
      <c r="A18" s="5">
        <v>12</v>
      </c>
      <c r="B18" s="5" t="str">
        <f>"201900213701"</f>
        <v>201900213701</v>
      </c>
      <c r="C18" s="5" t="str">
        <f>"148475"</f>
        <v>148475</v>
      </c>
      <c r="D18" s="5" t="s">
        <v>141</v>
      </c>
      <c r="E18" s="5">
        <v>10411867817</v>
      </c>
      <c r="F18" s="5" t="s">
        <v>142</v>
      </c>
      <c r="G18" s="5" t="s">
        <v>143</v>
      </c>
      <c r="H18" s="5" t="s">
        <v>108</v>
      </c>
      <c r="I18" s="5" t="s">
        <v>144</v>
      </c>
      <c r="J18" s="5" t="s">
        <v>145</v>
      </c>
      <c r="K18" s="5" t="s">
        <v>37</v>
      </c>
      <c r="L18" s="5" t="s">
        <v>102</v>
      </c>
      <c r="M18" s="5" t="s">
        <v>102</v>
      </c>
      <c r="N18" s="5" t="s">
        <v>146</v>
      </c>
      <c r="O18" s="5" t="s">
        <v>41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16000</v>
      </c>
      <c r="AB18" s="5">
        <v>10000</v>
      </c>
      <c r="AC18" s="6">
        <v>43829</v>
      </c>
      <c r="AD18" s="5" t="s">
        <v>42</v>
      </c>
      <c r="AE18" s="5" t="s">
        <v>142</v>
      </c>
      <c r="AF18" s="5">
        <v>0</v>
      </c>
    </row>
    <row r="19" spans="1:32" ht="41.95" x14ac:dyDescent="0.3">
      <c r="A19" s="3">
        <v>13</v>
      </c>
      <c r="B19" s="3" t="str">
        <f>"202000138803"</f>
        <v>202000138803</v>
      </c>
      <c r="C19" s="3" t="str">
        <f>"34452"</f>
        <v>34452</v>
      </c>
      <c r="D19" s="3" t="s">
        <v>147</v>
      </c>
      <c r="E19" s="3">
        <v>20572237070</v>
      </c>
      <c r="F19" s="3" t="s">
        <v>148</v>
      </c>
      <c r="G19" s="3" t="s">
        <v>149</v>
      </c>
      <c r="H19" s="3" t="s">
        <v>150</v>
      </c>
      <c r="I19" s="3" t="s">
        <v>151</v>
      </c>
      <c r="J19" s="3" t="s">
        <v>151</v>
      </c>
      <c r="K19" s="3" t="s">
        <v>37</v>
      </c>
      <c r="L19" s="3" t="s">
        <v>102</v>
      </c>
      <c r="M19" s="3" t="s">
        <v>152</v>
      </c>
      <c r="N19" s="3" t="s">
        <v>153</v>
      </c>
      <c r="O19" s="3" t="s">
        <v>154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>
        <v>12000</v>
      </c>
      <c r="AB19" s="3">
        <v>6000</v>
      </c>
      <c r="AC19" s="4">
        <v>44121</v>
      </c>
      <c r="AD19" s="3" t="s">
        <v>42</v>
      </c>
      <c r="AE19" s="3" t="s">
        <v>155</v>
      </c>
      <c r="AF19" s="3">
        <v>0</v>
      </c>
    </row>
    <row r="20" spans="1:32" ht="27.95" x14ac:dyDescent="0.3">
      <c r="A20" s="5">
        <v>14</v>
      </c>
      <c r="B20" s="5" t="str">
        <f>"201600133110"</f>
        <v>201600133110</v>
      </c>
      <c r="C20" s="5" t="str">
        <f>"6974"</f>
        <v>6974</v>
      </c>
      <c r="D20" s="5" t="s">
        <v>156</v>
      </c>
      <c r="E20" s="5">
        <v>20367525135</v>
      </c>
      <c r="F20" s="5" t="s">
        <v>157</v>
      </c>
      <c r="G20" s="5" t="s">
        <v>158</v>
      </c>
      <c r="H20" s="5" t="s">
        <v>47</v>
      </c>
      <c r="I20" s="5" t="s">
        <v>159</v>
      </c>
      <c r="J20" s="5" t="s">
        <v>160</v>
      </c>
      <c r="K20" s="5" t="s">
        <v>37</v>
      </c>
      <c r="L20" s="5" t="s">
        <v>161</v>
      </c>
      <c r="M20" s="5" t="s">
        <v>162</v>
      </c>
      <c r="N20" s="5" t="s">
        <v>163</v>
      </c>
      <c r="O20" s="5" t="s">
        <v>164</v>
      </c>
      <c r="P20" s="5" t="s">
        <v>165</v>
      </c>
      <c r="Q20" s="5" t="s">
        <v>166</v>
      </c>
      <c r="R20" s="5" t="s">
        <v>94</v>
      </c>
      <c r="S20" s="5"/>
      <c r="T20" s="5"/>
      <c r="U20" s="5"/>
      <c r="V20" s="5"/>
      <c r="W20" s="5"/>
      <c r="X20" s="5"/>
      <c r="Y20" s="5"/>
      <c r="Z20" s="5"/>
      <c r="AA20" s="5">
        <v>52000</v>
      </c>
      <c r="AB20" s="5">
        <v>5000</v>
      </c>
      <c r="AC20" s="6">
        <v>42626</v>
      </c>
      <c r="AD20" s="5" t="s">
        <v>42</v>
      </c>
      <c r="AE20" s="5" t="s">
        <v>167</v>
      </c>
      <c r="AF20" s="5">
        <v>0</v>
      </c>
    </row>
    <row r="21" spans="1:32" x14ac:dyDescent="0.3">
      <c r="A21" s="3">
        <v>15</v>
      </c>
      <c r="B21" s="3" t="str">
        <f>"201600125379"</f>
        <v>201600125379</v>
      </c>
      <c r="C21" s="3" t="str">
        <f>"20118"</f>
        <v>20118</v>
      </c>
      <c r="D21" s="3" t="s">
        <v>168</v>
      </c>
      <c r="E21" s="3">
        <v>10215437561</v>
      </c>
      <c r="F21" s="3" t="s">
        <v>45</v>
      </c>
      <c r="G21" s="3" t="s">
        <v>169</v>
      </c>
      <c r="H21" s="3" t="s">
        <v>47</v>
      </c>
      <c r="I21" s="3" t="s">
        <v>47</v>
      </c>
      <c r="J21" s="3" t="s">
        <v>170</v>
      </c>
      <c r="K21" s="3" t="s">
        <v>37</v>
      </c>
      <c r="L21" s="3" t="s">
        <v>65</v>
      </c>
      <c r="M21" s="3" t="s">
        <v>171</v>
      </c>
      <c r="N21" s="3" t="s">
        <v>172</v>
      </c>
      <c r="O21" s="3" t="s">
        <v>173</v>
      </c>
      <c r="P21" s="3" t="s">
        <v>174</v>
      </c>
      <c r="Q21" s="3" t="s">
        <v>72</v>
      </c>
      <c r="R21" s="3" t="s">
        <v>120</v>
      </c>
      <c r="S21" s="3"/>
      <c r="T21" s="3"/>
      <c r="U21" s="3"/>
      <c r="V21" s="3"/>
      <c r="W21" s="3"/>
      <c r="X21" s="3"/>
      <c r="Y21" s="3"/>
      <c r="Z21" s="3"/>
      <c r="AA21" s="3">
        <v>28000</v>
      </c>
      <c r="AB21" s="3">
        <v>3500</v>
      </c>
      <c r="AC21" s="4">
        <v>43978</v>
      </c>
      <c r="AD21" s="3" t="s">
        <v>42</v>
      </c>
      <c r="AE21" s="3" t="s">
        <v>45</v>
      </c>
      <c r="AF21" s="3">
        <v>0</v>
      </c>
    </row>
    <row r="22" spans="1:32" ht="41.95" x14ac:dyDescent="0.3">
      <c r="A22" s="5">
        <v>16</v>
      </c>
      <c r="B22" s="5" t="str">
        <f>"202000097088"</f>
        <v>202000097088</v>
      </c>
      <c r="C22" s="5" t="str">
        <f>"34928"</f>
        <v>34928</v>
      </c>
      <c r="D22" s="5" t="s">
        <v>175</v>
      </c>
      <c r="E22" s="5">
        <v>20502794648</v>
      </c>
      <c r="F22" s="5" t="s">
        <v>176</v>
      </c>
      <c r="G22" s="5" t="s">
        <v>177</v>
      </c>
      <c r="H22" s="5" t="s">
        <v>58</v>
      </c>
      <c r="I22" s="5" t="s">
        <v>58</v>
      </c>
      <c r="J22" s="5" t="s">
        <v>178</v>
      </c>
      <c r="K22" s="5" t="s">
        <v>37</v>
      </c>
      <c r="L22" s="5" t="s">
        <v>179</v>
      </c>
      <c r="M22" s="5" t="s">
        <v>180</v>
      </c>
      <c r="N22" s="5" t="s">
        <v>181</v>
      </c>
      <c r="O22" s="5" t="s">
        <v>182</v>
      </c>
      <c r="P22" s="5" t="s">
        <v>94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>
        <v>14781</v>
      </c>
      <c r="AB22" s="5">
        <v>5000</v>
      </c>
      <c r="AC22" s="6">
        <v>44075</v>
      </c>
      <c r="AD22" s="5" t="s">
        <v>42</v>
      </c>
      <c r="AE22" s="5" t="s">
        <v>183</v>
      </c>
      <c r="AF22" s="5">
        <v>0</v>
      </c>
    </row>
    <row r="23" spans="1:32" ht="41.95" x14ac:dyDescent="0.3">
      <c r="A23" s="3">
        <v>17</v>
      </c>
      <c r="B23" s="3" t="str">
        <f>"202000063851"</f>
        <v>202000063851</v>
      </c>
      <c r="C23" s="3" t="str">
        <f>"122038"</f>
        <v>122038</v>
      </c>
      <c r="D23" s="3" t="s">
        <v>184</v>
      </c>
      <c r="E23" s="3">
        <v>20526276486</v>
      </c>
      <c r="F23" s="3" t="s">
        <v>185</v>
      </c>
      <c r="G23" s="3" t="s">
        <v>186</v>
      </c>
      <c r="H23" s="3" t="s">
        <v>187</v>
      </c>
      <c r="I23" s="3" t="s">
        <v>187</v>
      </c>
      <c r="J23" s="3" t="s">
        <v>188</v>
      </c>
      <c r="K23" s="3" t="s">
        <v>37</v>
      </c>
      <c r="L23" s="3" t="s">
        <v>189</v>
      </c>
      <c r="M23" s="3" t="s">
        <v>190</v>
      </c>
      <c r="N23" s="3" t="s">
        <v>191</v>
      </c>
      <c r="O23" s="3" t="s">
        <v>54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>
        <v>19500</v>
      </c>
      <c r="AB23" s="3">
        <v>4000</v>
      </c>
      <c r="AC23" s="4">
        <v>44012</v>
      </c>
      <c r="AD23" s="3" t="s">
        <v>42</v>
      </c>
      <c r="AE23" s="3" t="s">
        <v>192</v>
      </c>
      <c r="AF23" s="3">
        <v>0</v>
      </c>
    </row>
    <row r="24" spans="1:32" ht="27.95" x14ac:dyDescent="0.3">
      <c r="A24" s="5">
        <v>18</v>
      </c>
      <c r="B24" s="5" t="str">
        <f>"201800059903"</f>
        <v>201800059903</v>
      </c>
      <c r="C24" s="5" t="str">
        <f>"94582"</f>
        <v>94582</v>
      </c>
      <c r="D24" s="5" t="s">
        <v>193</v>
      </c>
      <c r="E24" s="5">
        <v>20601253918</v>
      </c>
      <c r="F24" s="5" t="s">
        <v>194</v>
      </c>
      <c r="G24" s="5" t="s">
        <v>195</v>
      </c>
      <c r="H24" s="5" t="s">
        <v>36</v>
      </c>
      <c r="I24" s="5" t="s">
        <v>196</v>
      </c>
      <c r="J24" s="5" t="s">
        <v>197</v>
      </c>
      <c r="K24" s="5" t="s">
        <v>37</v>
      </c>
      <c r="L24" s="5" t="s">
        <v>198</v>
      </c>
      <c r="M24" s="5" t="s">
        <v>199</v>
      </c>
      <c r="N24" s="5" t="s">
        <v>78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>
        <v>4740</v>
      </c>
      <c r="AB24" s="5">
        <v>3200</v>
      </c>
      <c r="AC24" s="6">
        <v>43212</v>
      </c>
      <c r="AD24" s="5" t="s">
        <v>42</v>
      </c>
      <c r="AE24" s="5" t="s">
        <v>200</v>
      </c>
      <c r="AF24" s="5">
        <v>0</v>
      </c>
    </row>
    <row r="25" spans="1:32" ht="27.95" x14ac:dyDescent="0.3">
      <c r="A25" s="3">
        <v>19</v>
      </c>
      <c r="B25" s="3" t="str">
        <f>"202000063853"</f>
        <v>202000063853</v>
      </c>
      <c r="C25" s="3" t="str">
        <f>"6943"</f>
        <v>6943</v>
      </c>
      <c r="D25" s="3" t="s">
        <v>201</v>
      </c>
      <c r="E25" s="3">
        <v>20603024495</v>
      </c>
      <c r="F25" s="3" t="s">
        <v>202</v>
      </c>
      <c r="G25" s="3" t="s">
        <v>203</v>
      </c>
      <c r="H25" s="3" t="s">
        <v>47</v>
      </c>
      <c r="I25" s="3" t="s">
        <v>47</v>
      </c>
      <c r="J25" s="3" t="s">
        <v>47</v>
      </c>
      <c r="K25" s="3" t="s">
        <v>37</v>
      </c>
      <c r="L25" s="3" t="s">
        <v>204</v>
      </c>
      <c r="M25" s="3" t="s">
        <v>205</v>
      </c>
      <c r="N25" s="3" t="s">
        <v>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>
        <v>4500</v>
      </c>
      <c r="AB25" s="3">
        <v>3200</v>
      </c>
      <c r="AC25" s="4">
        <v>43990</v>
      </c>
      <c r="AD25" s="3" t="s">
        <v>42</v>
      </c>
      <c r="AE25" s="3" t="s">
        <v>206</v>
      </c>
      <c r="AF25" s="3">
        <v>0</v>
      </c>
    </row>
    <row r="26" spans="1:32" x14ac:dyDescent="0.3">
      <c r="A26" s="5">
        <v>20</v>
      </c>
      <c r="B26" s="5" t="str">
        <f>"202000058074"</f>
        <v>202000058074</v>
      </c>
      <c r="C26" s="5" t="str">
        <f>"8044"</f>
        <v>8044</v>
      </c>
      <c r="D26" s="5" t="s">
        <v>207</v>
      </c>
      <c r="E26" s="5">
        <v>20105299991</v>
      </c>
      <c r="F26" s="5" t="s">
        <v>208</v>
      </c>
      <c r="G26" s="5" t="s">
        <v>209</v>
      </c>
      <c r="H26" s="5" t="s">
        <v>187</v>
      </c>
      <c r="I26" s="5" t="s">
        <v>210</v>
      </c>
      <c r="J26" s="5" t="s">
        <v>210</v>
      </c>
      <c r="K26" s="5" t="s">
        <v>37</v>
      </c>
      <c r="L26" s="5" t="s">
        <v>211</v>
      </c>
      <c r="M26" s="5" t="s">
        <v>212</v>
      </c>
      <c r="N26" s="5" t="s">
        <v>213</v>
      </c>
      <c r="O26" s="5" t="s">
        <v>110</v>
      </c>
      <c r="P26" s="5" t="s">
        <v>214</v>
      </c>
      <c r="Q26" s="5" t="s">
        <v>54</v>
      </c>
      <c r="R26" s="5"/>
      <c r="S26" s="5"/>
      <c r="T26" s="5"/>
      <c r="U26" s="5"/>
      <c r="V26" s="5"/>
      <c r="W26" s="5"/>
      <c r="X26" s="5"/>
      <c r="Y26" s="5"/>
      <c r="Z26" s="5"/>
      <c r="AA26" s="5">
        <v>26400</v>
      </c>
      <c r="AB26" s="5">
        <v>4000</v>
      </c>
      <c r="AC26" s="6">
        <v>43972</v>
      </c>
      <c r="AD26" s="5" t="s">
        <v>42</v>
      </c>
      <c r="AE26" s="5" t="s">
        <v>215</v>
      </c>
      <c r="AF26" s="5">
        <v>720</v>
      </c>
    </row>
    <row r="27" spans="1:32" ht="27.95" x14ac:dyDescent="0.3">
      <c r="A27" s="3">
        <v>21</v>
      </c>
      <c r="B27" s="3" t="str">
        <f>"201800036199"</f>
        <v>201800036199</v>
      </c>
      <c r="C27" s="3" t="str">
        <f>"132037"</f>
        <v>132037</v>
      </c>
      <c r="D27" s="3" t="s">
        <v>216</v>
      </c>
      <c r="E27" s="3">
        <v>20477484531</v>
      </c>
      <c r="F27" s="3" t="s">
        <v>217</v>
      </c>
      <c r="G27" s="3" t="s">
        <v>218</v>
      </c>
      <c r="H27" s="3" t="s">
        <v>219</v>
      </c>
      <c r="I27" s="3" t="s">
        <v>220</v>
      </c>
      <c r="J27" s="3" t="s">
        <v>220</v>
      </c>
      <c r="K27" s="3" t="s">
        <v>37</v>
      </c>
      <c r="L27" s="3" t="s">
        <v>221</v>
      </c>
      <c r="M27" s="3" t="s">
        <v>222</v>
      </c>
      <c r="N27" s="3" t="s">
        <v>222</v>
      </c>
      <c r="O27" s="3" t="s">
        <v>223</v>
      </c>
      <c r="P27" s="3" t="s">
        <v>224</v>
      </c>
      <c r="Q27" s="3" t="s">
        <v>225</v>
      </c>
      <c r="R27" s="3" t="s">
        <v>226</v>
      </c>
      <c r="S27" s="3" t="s">
        <v>41</v>
      </c>
      <c r="T27" s="3"/>
      <c r="U27" s="3"/>
      <c r="V27" s="3"/>
      <c r="W27" s="3"/>
      <c r="X27" s="3"/>
      <c r="Y27" s="3"/>
      <c r="Z27" s="3"/>
      <c r="AA27" s="3">
        <v>44470</v>
      </c>
      <c r="AB27" s="3">
        <v>10000</v>
      </c>
      <c r="AC27" s="4">
        <v>43170</v>
      </c>
      <c r="AD27" s="3" t="s">
        <v>42</v>
      </c>
      <c r="AE27" s="3" t="s">
        <v>227</v>
      </c>
      <c r="AF27" s="3">
        <v>0</v>
      </c>
    </row>
    <row r="28" spans="1:32" x14ac:dyDescent="0.3">
      <c r="A28" s="5">
        <v>22</v>
      </c>
      <c r="B28" s="5" t="str">
        <f>"201900217449"</f>
        <v>201900217449</v>
      </c>
      <c r="C28" s="5" t="str">
        <f>"139411"</f>
        <v>139411</v>
      </c>
      <c r="D28" s="5" t="s">
        <v>228</v>
      </c>
      <c r="E28" s="5">
        <v>20512081372</v>
      </c>
      <c r="F28" s="5" t="s">
        <v>229</v>
      </c>
      <c r="G28" s="5" t="s">
        <v>230</v>
      </c>
      <c r="H28" s="5" t="s">
        <v>58</v>
      </c>
      <c r="I28" s="5" t="s">
        <v>58</v>
      </c>
      <c r="J28" s="5" t="s">
        <v>231</v>
      </c>
      <c r="K28" s="5" t="s">
        <v>37</v>
      </c>
      <c r="L28" s="5" t="s">
        <v>166</v>
      </c>
      <c r="M28" s="5" t="s">
        <v>232</v>
      </c>
      <c r="N28" s="5" t="s">
        <v>164</v>
      </c>
      <c r="O28" s="5" t="s">
        <v>233</v>
      </c>
      <c r="P28" s="5" t="s">
        <v>54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40000</v>
      </c>
      <c r="AB28" s="5">
        <v>4000</v>
      </c>
      <c r="AC28" s="6">
        <v>43837</v>
      </c>
      <c r="AD28" s="5" t="s">
        <v>42</v>
      </c>
      <c r="AE28" s="5" t="s">
        <v>234</v>
      </c>
      <c r="AF28" s="5">
        <v>0</v>
      </c>
    </row>
    <row r="29" spans="1:32" x14ac:dyDescent="0.3">
      <c r="A29" s="3">
        <v>23</v>
      </c>
      <c r="B29" s="3" t="str">
        <f>"201800013700"</f>
        <v>201800013700</v>
      </c>
      <c r="C29" s="3" t="str">
        <f>"21622"</f>
        <v>21622</v>
      </c>
      <c r="D29" s="3" t="s">
        <v>235</v>
      </c>
      <c r="E29" s="3">
        <v>20602813534</v>
      </c>
      <c r="F29" s="3" t="s">
        <v>236</v>
      </c>
      <c r="G29" s="3" t="s">
        <v>237</v>
      </c>
      <c r="H29" s="3" t="s">
        <v>47</v>
      </c>
      <c r="I29" s="3" t="s">
        <v>47</v>
      </c>
      <c r="J29" s="3" t="s">
        <v>83</v>
      </c>
      <c r="K29" s="3" t="s">
        <v>37</v>
      </c>
      <c r="L29" s="3" t="s">
        <v>238</v>
      </c>
      <c r="M29" s="3" t="s">
        <v>239</v>
      </c>
      <c r="N29" s="3" t="s">
        <v>240</v>
      </c>
      <c r="O29" s="3" t="s">
        <v>241</v>
      </c>
      <c r="P29" s="3" t="s">
        <v>94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>
        <v>6600</v>
      </c>
      <c r="AB29" s="3">
        <v>5000</v>
      </c>
      <c r="AC29" s="4">
        <v>43126</v>
      </c>
      <c r="AD29" s="3" t="s">
        <v>42</v>
      </c>
      <c r="AE29" s="3" t="s">
        <v>242</v>
      </c>
      <c r="AF29" s="3">
        <v>0</v>
      </c>
    </row>
    <row r="30" spans="1:32" ht="27.95" x14ac:dyDescent="0.3">
      <c r="A30" s="5">
        <v>24</v>
      </c>
      <c r="B30" s="5" t="str">
        <f>"201500010021"</f>
        <v>201500010021</v>
      </c>
      <c r="C30" s="5" t="str">
        <f>"7382"</f>
        <v>7382</v>
      </c>
      <c r="D30" s="5" t="s">
        <v>243</v>
      </c>
      <c r="E30" s="5">
        <v>20558562651</v>
      </c>
      <c r="F30" s="5" t="s">
        <v>244</v>
      </c>
      <c r="G30" s="5" t="s">
        <v>245</v>
      </c>
      <c r="H30" s="5" t="s">
        <v>89</v>
      </c>
      <c r="I30" s="5" t="s">
        <v>89</v>
      </c>
      <c r="J30" s="5" t="s">
        <v>246</v>
      </c>
      <c r="K30" s="5" t="s">
        <v>37</v>
      </c>
      <c r="L30" s="5" t="s">
        <v>172</v>
      </c>
      <c r="M30" s="5" t="s">
        <v>172</v>
      </c>
      <c r="N30" s="5" t="s">
        <v>50</v>
      </c>
      <c r="O30" s="5" t="s">
        <v>51</v>
      </c>
      <c r="P30" s="5" t="s">
        <v>247</v>
      </c>
      <c r="Q30" s="5" t="s">
        <v>248</v>
      </c>
      <c r="R30" s="5"/>
      <c r="S30" s="5"/>
      <c r="T30" s="5"/>
      <c r="U30" s="5"/>
      <c r="V30" s="5"/>
      <c r="W30" s="5"/>
      <c r="X30" s="5"/>
      <c r="Y30" s="5"/>
      <c r="Z30" s="5"/>
      <c r="AA30" s="5">
        <v>20000</v>
      </c>
      <c r="AB30" s="5">
        <v>3000</v>
      </c>
      <c r="AC30" s="6">
        <v>42032</v>
      </c>
      <c r="AD30" s="5" t="s">
        <v>42</v>
      </c>
      <c r="AE30" s="5" t="s">
        <v>249</v>
      </c>
      <c r="AF30" s="5">
        <v>720</v>
      </c>
    </row>
    <row r="31" spans="1:32" ht="27.95" x14ac:dyDescent="0.3">
      <c r="A31" s="3">
        <v>25</v>
      </c>
      <c r="B31" s="3" t="str">
        <f>"201900035641"</f>
        <v>201900035641</v>
      </c>
      <c r="C31" s="3" t="str">
        <f>"17879"</f>
        <v>17879</v>
      </c>
      <c r="D31" s="3" t="s">
        <v>250</v>
      </c>
      <c r="E31" s="3">
        <v>20536053621</v>
      </c>
      <c r="F31" s="3" t="s">
        <v>251</v>
      </c>
      <c r="G31" s="3" t="s">
        <v>252</v>
      </c>
      <c r="H31" s="3" t="s">
        <v>58</v>
      </c>
      <c r="I31" s="3" t="s">
        <v>58</v>
      </c>
      <c r="J31" s="3" t="s">
        <v>253</v>
      </c>
      <c r="K31" s="3" t="s">
        <v>37</v>
      </c>
      <c r="L31" s="3" t="s">
        <v>51</v>
      </c>
      <c r="M31" s="3" t="s">
        <v>254</v>
      </c>
      <c r="N31" s="3" t="s">
        <v>102</v>
      </c>
      <c r="O31" s="3" t="s">
        <v>255</v>
      </c>
      <c r="P31" s="3" t="s">
        <v>120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v>21474</v>
      </c>
      <c r="AB31" s="3">
        <v>3500</v>
      </c>
      <c r="AC31" s="4">
        <v>43532</v>
      </c>
      <c r="AD31" s="3" t="s">
        <v>42</v>
      </c>
      <c r="AE31" s="3" t="s">
        <v>256</v>
      </c>
      <c r="AF31" s="3">
        <v>0</v>
      </c>
    </row>
    <row r="32" spans="1:32" ht="27.95" x14ac:dyDescent="0.3">
      <c r="A32" s="5">
        <v>26</v>
      </c>
      <c r="B32" s="5" t="str">
        <f>"202000073386"</f>
        <v>202000073386</v>
      </c>
      <c r="C32" s="5" t="str">
        <f>"15736"</f>
        <v>15736</v>
      </c>
      <c r="D32" s="5" t="s">
        <v>257</v>
      </c>
      <c r="E32" s="5">
        <v>20526594003</v>
      </c>
      <c r="F32" s="5" t="s">
        <v>258</v>
      </c>
      <c r="G32" s="5" t="s">
        <v>259</v>
      </c>
      <c r="H32" s="5" t="s">
        <v>187</v>
      </c>
      <c r="I32" s="5" t="s">
        <v>260</v>
      </c>
      <c r="J32" s="5" t="s">
        <v>261</v>
      </c>
      <c r="K32" s="5" t="s">
        <v>37</v>
      </c>
      <c r="L32" s="5" t="s">
        <v>63</v>
      </c>
      <c r="M32" s="5" t="s">
        <v>262</v>
      </c>
      <c r="N32" s="5" t="s">
        <v>161</v>
      </c>
      <c r="O32" s="5" t="s">
        <v>263</v>
      </c>
      <c r="P32" s="5" t="s">
        <v>248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>
        <v>24000</v>
      </c>
      <c r="AB32" s="5">
        <v>3000</v>
      </c>
      <c r="AC32" s="6">
        <v>44011</v>
      </c>
      <c r="AD32" s="5" t="s">
        <v>42</v>
      </c>
      <c r="AE32" s="5" t="s">
        <v>264</v>
      </c>
      <c r="AF32" s="5">
        <v>0</v>
      </c>
    </row>
    <row r="33" spans="1:32" ht="41.95" x14ac:dyDescent="0.3">
      <c r="A33" s="3">
        <v>27</v>
      </c>
      <c r="B33" s="3" t="str">
        <f>"201900041194"</f>
        <v>201900041194</v>
      </c>
      <c r="C33" s="3" t="str">
        <f>"138914"</f>
        <v>138914</v>
      </c>
      <c r="D33" s="3" t="s">
        <v>265</v>
      </c>
      <c r="E33" s="3">
        <v>20603055528</v>
      </c>
      <c r="F33" s="3" t="s">
        <v>266</v>
      </c>
      <c r="G33" s="3" t="s">
        <v>267</v>
      </c>
      <c r="H33" s="3" t="s">
        <v>58</v>
      </c>
      <c r="I33" s="3" t="s">
        <v>58</v>
      </c>
      <c r="J33" s="3" t="s">
        <v>268</v>
      </c>
      <c r="K33" s="3" t="s">
        <v>37</v>
      </c>
      <c r="L33" s="3" t="s">
        <v>269</v>
      </c>
      <c r="M33" s="3" t="s">
        <v>270</v>
      </c>
      <c r="N33" s="3" t="s">
        <v>103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>
        <v>5680</v>
      </c>
      <c r="AB33" s="3">
        <v>2500</v>
      </c>
      <c r="AC33" s="4">
        <v>43539</v>
      </c>
      <c r="AD33" s="3" t="s">
        <v>42</v>
      </c>
      <c r="AE33" s="3" t="s">
        <v>271</v>
      </c>
      <c r="AF33" s="3">
        <v>0</v>
      </c>
    </row>
    <row r="34" spans="1:32" x14ac:dyDescent="0.3">
      <c r="A34" s="5">
        <v>28</v>
      </c>
      <c r="B34" s="5" t="str">
        <f>"201900102622"</f>
        <v>201900102622</v>
      </c>
      <c r="C34" s="5" t="str">
        <f>"141890"</f>
        <v>141890</v>
      </c>
      <c r="D34" s="5" t="s">
        <v>272</v>
      </c>
      <c r="E34" s="5">
        <v>20127765279</v>
      </c>
      <c r="F34" s="5" t="s">
        <v>273</v>
      </c>
      <c r="G34" s="5" t="s">
        <v>274</v>
      </c>
      <c r="H34" s="5" t="s">
        <v>219</v>
      </c>
      <c r="I34" s="5" t="s">
        <v>220</v>
      </c>
      <c r="J34" s="5" t="s">
        <v>220</v>
      </c>
      <c r="K34" s="5" t="s">
        <v>37</v>
      </c>
      <c r="L34" s="5" t="s">
        <v>240</v>
      </c>
      <c r="M34" s="5" t="s">
        <v>275</v>
      </c>
      <c r="N34" s="5" t="s">
        <v>276</v>
      </c>
      <c r="O34" s="5" t="s">
        <v>277</v>
      </c>
      <c r="P34" s="5" t="s">
        <v>278</v>
      </c>
      <c r="Q34" s="5" t="s">
        <v>94</v>
      </c>
      <c r="R34" s="5"/>
      <c r="S34" s="5"/>
      <c r="T34" s="5"/>
      <c r="U34" s="5"/>
      <c r="V34" s="5"/>
      <c r="W34" s="5"/>
      <c r="X34" s="5"/>
      <c r="Y34" s="5"/>
      <c r="Z34" s="5"/>
      <c r="AA34" s="5">
        <v>14300</v>
      </c>
      <c r="AB34" s="5">
        <v>5000</v>
      </c>
      <c r="AC34" s="6">
        <v>43661</v>
      </c>
      <c r="AD34" s="5" t="s">
        <v>42</v>
      </c>
      <c r="AE34" s="5" t="s">
        <v>279</v>
      </c>
      <c r="AF34" s="5">
        <v>0</v>
      </c>
    </row>
    <row r="35" spans="1:32" ht="41.95" x14ac:dyDescent="0.3">
      <c r="A35" s="3">
        <v>29</v>
      </c>
      <c r="B35" s="3" t="str">
        <f>"201800085388"</f>
        <v>201800085388</v>
      </c>
      <c r="C35" s="3" t="str">
        <f>"136340"</f>
        <v>136340</v>
      </c>
      <c r="D35" s="3" t="s">
        <v>280</v>
      </c>
      <c r="E35" s="3">
        <v>20601840422</v>
      </c>
      <c r="F35" s="3" t="s">
        <v>281</v>
      </c>
      <c r="G35" s="3" t="s">
        <v>282</v>
      </c>
      <c r="H35" s="3" t="s">
        <v>219</v>
      </c>
      <c r="I35" s="3" t="s">
        <v>283</v>
      </c>
      <c r="J35" s="3" t="s">
        <v>284</v>
      </c>
      <c r="K35" s="3" t="s">
        <v>37</v>
      </c>
      <c r="L35" s="3" t="s">
        <v>72</v>
      </c>
      <c r="M35" s="3" t="s">
        <v>285</v>
      </c>
      <c r="N35" s="3" t="s">
        <v>174</v>
      </c>
      <c r="O35" s="3" t="s">
        <v>171</v>
      </c>
      <c r="P35" s="3" t="s">
        <v>65</v>
      </c>
      <c r="Q35" s="3" t="s">
        <v>94</v>
      </c>
      <c r="R35" s="3"/>
      <c r="S35" s="3"/>
      <c r="T35" s="3"/>
      <c r="U35" s="3"/>
      <c r="V35" s="3"/>
      <c r="W35" s="3"/>
      <c r="X35" s="3"/>
      <c r="Y35" s="3"/>
      <c r="Z35" s="3"/>
      <c r="AA35" s="3">
        <v>24000</v>
      </c>
      <c r="AB35" s="3">
        <v>5000</v>
      </c>
      <c r="AC35" s="4">
        <v>43252</v>
      </c>
      <c r="AD35" s="3" t="s">
        <v>42</v>
      </c>
      <c r="AE35" s="3" t="s">
        <v>286</v>
      </c>
      <c r="AF35" s="3">
        <v>0</v>
      </c>
    </row>
    <row r="36" spans="1:32" ht="27.95" x14ac:dyDescent="0.3">
      <c r="A36" s="5">
        <v>30</v>
      </c>
      <c r="B36" s="5" t="str">
        <f>"544"</f>
        <v>544</v>
      </c>
      <c r="C36" s="5" t="str">
        <f>"86574"</f>
        <v>86574</v>
      </c>
      <c r="D36" s="5" t="s">
        <v>287</v>
      </c>
      <c r="E36" s="5">
        <v>20494871930</v>
      </c>
      <c r="F36" s="5" t="s">
        <v>288</v>
      </c>
      <c r="G36" s="5" t="s">
        <v>289</v>
      </c>
      <c r="H36" s="5" t="s">
        <v>47</v>
      </c>
      <c r="I36" s="5" t="s">
        <v>290</v>
      </c>
      <c r="J36" s="5" t="s">
        <v>290</v>
      </c>
      <c r="K36" s="5" t="s">
        <v>37</v>
      </c>
      <c r="L36" s="5" t="s">
        <v>291</v>
      </c>
      <c r="M36" s="5" t="s">
        <v>78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>
        <v>18200</v>
      </c>
      <c r="AB36" s="5">
        <v>3200</v>
      </c>
      <c r="AC36" s="6">
        <v>40301</v>
      </c>
      <c r="AD36" s="5" t="s">
        <v>42</v>
      </c>
      <c r="AE36" s="5" t="s">
        <v>292</v>
      </c>
      <c r="AF36" s="5">
        <v>0</v>
      </c>
    </row>
    <row r="37" spans="1:32" ht="27.95" x14ac:dyDescent="0.3">
      <c r="A37" s="3">
        <v>31</v>
      </c>
      <c r="B37" s="3" t="str">
        <f>"201800048255"</f>
        <v>201800048255</v>
      </c>
      <c r="C37" s="3" t="str">
        <f>"14516"</f>
        <v>14516</v>
      </c>
      <c r="D37" s="3" t="s">
        <v>293</v>
      </c>
      <c r="E37" s="3">
        <v>20535022454</v>
      </c>
      <c r="F37" s="3" t="s">
        <v>294</v>
      </c>
      <c r="G37" s="3" t="s">
        <v>295</v>
      </c>
      <c r="H37" s="3" t="s">
        <v>47</v>
      </c>
      <c r="I37" s="3" t="s">
        <v>47</v>
      </c>
      <c r="J37" s="3" t="s">
        <v>48</v>
      </c>
      <c r="K37" s="3" t="s">
        <v>37</v>
      </c>
      <c r="L37" s="3" t="s">
        <v>172</v>
      </c>
      <c r="M37" s="3" t="s">
        <v>172</v>
      </c>
      <c r="N37" s="3" t="s">
        <v>296</v>
      </c>
      <c r="O37" s="3" t="s">
        <v>238</v>
      </c>
      <c r="P37" s="3" t="s">
        <v>297</v>
      </c>
      <c r="Q37" s="3" t="s">
        <v>78</v>
      </c>
      <c r="R37" s="3"/>
      <c r="S37" s="3"/>
      <c r="T37" s="3"/>
      <c r="U37" s="3"/>
      <c r="V37" s="3"/>
      <c r="W37" s="3"/>
      <c r="X37" s="3"/>
      <c r="Y37" s="3"/>
      <c r="Z37" s="3"/>
      <c r="AA37" s="3">
        <v>16000</v>
      </c>
      <c r="AB37" s="3">
        <v>3200</v>
      </c>
      <c r="AC37" s="4">
        <v>43186</v>
      </c>
      <c r="AD37" s="3" t="s">
        <v>42</v>
      </c>
      <c r="AE37" s="3" t="s">
        <v>298</v>
      </c>
      <c r="AF37" s="3">
        <v>0</v>
      </c>
    </row>
    <row r="38" spans="1:32" ht="27.95" x14ac:dyDescent="0.3">
      <c r="A38" s="5">
        <v>32</v>
      </c>
      <c r="B38" s="5" t="str">
        <f>"201900183264"</f>
        <v>201900183264</v>
      </c>
      <c r="C38" s="5" t="str">
        <f>"133203"</f>
        <v>133203</v>
      </c>
      <c r="D38" s="5" t="s">
        <v>299</v>
      </c>
      <c r="E38" s="5">
        <v>20511230935</v>
      </c>
      <c r="F38" s="5" t="s">
        <v>300</v>
      </c>
      <c r="G38" s="5" t="s">
        <v>301</v>
      </c>
      <c r="H38" s="5" t="s">
        <v>219</v>
      </c>
      <c r="I38" s="5" t="s">
        <v>220</v>
      </c>
      <c r="J38" s="5" t="s">
        <v>302</v>
      </c>
      <c r="K38" s="5" t="s">
        <v>37</v>
      </c>
      <c r="L38" s="5" t="s">
        <v>303</v>
      </c>
      <c r="M38" s="5" t="s">
        <v>304</v>
      </c>
      <c r="N38" s="5" t="s">
        <v>103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10950</v>
      </c>
      <c r="AB38" s="5">
        <v>2500</v>
      </c>
      <c r="AC38" s="6">
        <v>43801</v>
      </c>
      <c r="AD38" s="5" t="s">
        <v>42</v>
      </c>
      <c r="AE38" s="5" t="s">
        <v>305</v>
      </c>
      <c r="AF38" s="5">
        <v>0</v>
      </c>
    </row>
    <row r="39" spans="1:32" x14ac:dyDescent="0.3">
      <c r="A39" s="3">
        <v>33</v>
      </c>
      <c r="B39" s="3" t="str">
        <f>"201900155030"</f>
        <v>201900155030</v>
      </c>
      <c r="C39" s="3" t="str">
        <f>"18591"</f>
        <v>18591</v>
      </c>
      <c r="D39" s="3" t="s">
        <v>306</v>
      </c>
      <c r="E39" s="3">
        <v>20565643496</v>
      </c>
      <c r="F39" s="3" t="s">
        <v>307</v>
      </c>
      <c r="G39" s="3" t="s">
        <v>308</v>
      </c>
      <c r="H39" s="3" t="s">
        <v>89</v>
      </c>
      <c r="I39" s="3" t="s">
        <v>89</v>
      </c>
      <c r="J39" s="3" t="s">
        <v>309</v>
      </c>
      <c r="K39" s="3" t="s">
        <v>37</v>
      </c>
      <c r="L39" s="3" t="s">
        <v>310</v>
      </c>
      <c r="M39" s="3" t="s">
        <v>311</v>
      </c>
      <c r="N39" s="3" t="s">
        <v>312</v>
      </c>
      <c r="O39" s="3" t="s">
        <v>313</v>
      </c>
      <c r="P39" s="3" t="s">
        <v>314</v>
      </c>
      <c r="Q39" s="3" t="s">
        <v>103</v>
      </c>
      <c r="R39" s="3"/>
      <c r="S39" s="3"/>
      <c r="T39" s="3"/>
      <c r="U39" s="3"/>
      <c r="V39" s="3"/>
      <c r="W39" s="3"/>
      <c r="X39" s="3"/>
      <c r="Y39" s="3"/>
      <c r="Z39" s="3"/>
      <c r="AA39" s="3">
        <v>22200</v>
      </c>
      <c r="AB39" s="3">
        <v>2500</v>
      </c>
      <c r="AC39" s="4">
        <v>43734</v>
      </c>
      <c r="AD39" s="3" t="s">
        <v>42</v>
      </c>
      <c r="AE39" s="3" t="s">
        <v>315</v>
      </c>
      <c r="AF39" s="3">
        <v>0</v>
      </c>
    </row>
    <row r="40" spans="1:32" x14ac:dyDescent="0.3">
      <c r="A40" s="5">
        <v>34</v>
      </c>
      <c r="B40" s="5" t="str">
        <f>"201700215778"</f>
        <v>201700215778</v>
      </c>
      <c r="C40" s="5" t="str">
        <f>"8475"</f>
        <v>8475</v>
      </c>
      <c r="D40" s="5" t="s">
        <v>316</v>
      </c>
      <c r="E40" s="5">
        <v>20311644786</v>
      </c>
      <c r="F40" s="5" t="s">
        <v>317</v>
      </c>
      <c r="G40" s="5" t="s">
        <v>318</v>
      </c>
      <c r="H40" s="5" t="s">
        <v>89</v>
      </c>
      <c r="I40" s="5" t="s">
        <v>90</v>
      </c>
      <c r="J40" s="5" t="s">
        <v>91</v>
      </c>
      <c r="K40" s="5" t="s">
        <v>37</v>
      </c>
      <c r="L40" s="5" t="s">
        <v>319</v>
      </c>
      <c r="M40" s="5" t="s">
        <v>320</v>
      </c>
      <c r="N40" s="5" t="s">
        <v>321</v>
      </c>
      <c r="O40" s="5" t="s">
        <v>322</v>
      </c>
      <c r="P40" s="5" t="s">
        <v>323</v>
      </c>
      <c r="Q40" s="5" t="s">
        <v>324</v>
      </c>
      <c r="R40" s="5" t="s">
        <v>94</v>
      </c>
      <c r="S40" s="5"/>
      <c r="T40" s="5"/>
      <c r="U40" s="5"/>
      <c r="V40" s="5"/>
      <c r="W40" s="5"/>
      <c r="X40" s="5"/>
      <c r="Y40" s="5"/>
      <c r="Z40" s="5"/>
      <c r="AA40" s="5">
        <v>19400</v>
      </c>
      <c r="AB40" s="5">
        <v>5000</v>
      </c>
      <c r="AC40" s="6">
        <v>43090</v>
      </c>
      <c r="AD40" s="5" t="s">
        <v>42</v>
      </c>
      <c r="AE40" s="5" t="s">
        <v>325</v>
      </c>
      <c r="AF40" s="5">
        <v>0</v>
      </c>
    </row>
    <row r="41" spans="1:32" ht="27.95" x14ac:dyDescent="0.3">
      <c r="A41" s="3">
        <v>35</v>
      </c>
      <c r="B41" s="3" t="str">
        <f>"1501605"</f>
        <v>1501605</v>
      </c>
      <c r="C41" s="3" t="str">
        <f>"16100"</f>
        <v>16100</v>
      </c>
      <c r="D41" s="3" t="s">
        <v>326</v>
      </c>
      <c r="E41" s="3">
        <v>20511283389</v>
      </c>
      <c r="F41" s="3" t="s">
        <v>327</v>
      </c>
      <c r="G41" s="3" t="s">
        <v>328</v>
      </c>
      <c r="H41" s="3" t="s">
        <v>329</v>
      </c>
      <c r="I41" s="3" t="s">
        <v>329</v>
      </c>
      <c r="J41" s="3" t="s">
        <v>330</v>
      </c>
      <c r="K41" s="3" t="s">
        <v>37</v>
      </c>
      <c r="L41" s="3" t="s">
        <v>331</v>
      </c>
      <c r="M41" s="3" t="s">
        <v>331</v>
      </c>
      <c r="N41" s="3" t="s">
        <v>332</v>
      </c>
      <c r="O41" s="3" t="s">
        <v>333</v>
      </c>
      <c r="P41" s="3" t="s">
        <v>334</v>
      </c>
      <c r="Q41" s="3" t="s">
        <v>248</v>
      </c>
      <c r="R41" s="3"/>
      <c r="S41" s="3"/>
      <c r="T41" s="3"/>
      <c r="U41" s="3"/>
      <c r="V41" s="3"/>
      <c r="W41" s="3"/>
      <c r="X41" s="3"/>
      <c r="Y41" s="3"/>
      <c r="Z41" s="3"/>
      <c r="AA41" s="3">
        <v>37016</v>
      </c>
      <c r="AB41" s="3">
        <v>3000</v>
      </c>
      <c r="AC41" s="4">
        <v>40799</v>
      </c>
      <c r="AD41" s="3" t="s">
        <v>42</v>
      </c>
      <c r="AE41" s="3" t="s">
        <v>335</v>
      </c>
      <c r="AF41" s="3">
        <v>0</v>
      </c>
    </row>
    <row r="42" spans="1:32" ht="27.95" x14ac:dyDescent="0.3">
      <c r="A42" s="5">
        <v>36</v>
      </c>
      <c r="B42" s="5" t="str">
        <f>"202000108104"</f>
        <v>202000108104</v>
      </c>
      <c r="C42" s="5" t="str">
        <f>"140185"</f>
        <v>140185</v>
      </c>
      <c r="D42" s="5" t="s">
        <v>336</v>
      </c>
      <c r="E42" s="5">
        <v>20604758883</v>
      </c>
      <c r="F42" s="5" t="s">
        <v>337</v>
      </c>
      <c r="G42" s="5" t="s">
        <v>338</v>
      </c>
      <c r="H42" s="5" t="s">
        <v>116</v>
      </c>
      <c r="I42" s="5" t="s">
        <v>339</v>
      </c>
      <c r="J42" s="5" t="s">
        <v>340</v>
      </c>
      <c r="K42" s="5" t="s">
        <v>37</v>
      </c>
      <c r="L42" s="5" t="s">
        <v>102</v>
      </c>
      <c r="M42" s="5" t="s">
        <v>341</v>
      </c>
      <c r="N42" s="5" t="s">
        <v>94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12000</v>
      </c>
      <c r="AB42" s="5">
        <v>5000</v>
      </c>
      <c r="AC42" s="6">
        <v>44074</v>
      </c>
      <c r="AD42" s="5" t="s">
        <v>42</v>
      </c>
      <c r="AE42" s="5" t="s">
        <v>342</v>
      </c>
      <c r="AF42" s="5">
        <v>0</v>
      </c>
    </row>
    <row r="43" spans="1:32" x14ac:dyDescent="0.3">
      <c r="A43" s="3">
        <v>37</v>
      </c>
      <c r="B43" s="3" t="str">
        <f>"201800164295"</f>
        <v>201800164295</v>
      </c>
      <c r="C43" s="3" t="str">
        <f>"6899"</f>
        <v>6899</v>
      </c>
      <c r="D43" s="3" t="s">
        <v>343</v>
      </c>
      <c r="E43" s="3">
        <v>20452669740</v>
      </c>
      <c r="F43" s="3" t="s">
        <v>344</v>
      </c>
      <c r="G43" s="3" t="s">
        <v>345</v>
      </c>
      <c r="H43" s="3" t="s">
        <v>47</v>
      </c>
      <c r="I43" s="3" t="s">
        <v>159</v>
      </c>
      <c r="J43" s="3" t="s">
        <v>346</v>
      </c>
      <c r="K43" s="3" t="s">
        <v>37</v>
      </c>
      <c r="L43" s="3" t="s">
        <v>347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>
        <v>18766</v>
      </c>
      <c r="AB43" s="3">
        <v>3100</v>
      </c>
      <c r="AC43" s="4">
        <v>43377</v>
      </c>
      <c r="AD43" s="3" t="s">
        <v>42</v>
      </c>
      <c r="AE43" s="3" t="s">
        <v>348</v>
      </c>
      <c r="AF43" s="3">
        <v>480</v>
      </c>
    </row>
    <row r="44" spans="1:32" ht="27.95" x14ac:dyDescent="0.3">
      <c r="A44" s="5">
        <v>38</v>
      </c>
      <c r="B44" s="5" t="str">
        <f>"202000121793"</f>
        <v>202000121793</v>
      </c>
      <c r="C44" s="5" t="str">
        <f>"99420"</f>
        <v>99420</v>
      </c>
      <c r="D44" s="5" t="s">
        <v>349</v>
      </c>
      <c r="E44" s="5">
        <v>20445673341</v>
      </c>
      <c r="F44" s="5" t="s">
        <v>350</v>
      </c>
      <c r="G44" s="5" t="s">
        <v>351</v>
      </c>
      <c r="H44" s="5" t="s">
        <v>116</v>
      </c>
      <c r="I44" s="5" t="s">
        <v>339</v>
      </c>
      <c r="J44" s="5" t="s">
        <v>340</v>
      </c>
      <c r="K44" s="5" t="s">
        <v>37</v>
      </c>
      <c r="L44" s="5" t="s">
        <v>63</v>
      </c>
      <c r="M44" s="5" t="s">
        <v>352</v>
      </c>
      <c r="N44" s="5" t="s">
        <v>78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>
        <v>12000</v>
      </c>
      <c r="AB44" s="5">
        <v>3200</v>
      </c>
      <c r="AC44" s="6">
        <v>44088</v>
      </c>
      <c r="AD44" s="5" t="s">
        <v>42</v>
      </c>
      <c r="AE44" s="5" t="s">
        <v>353</v>
      </c>
      <c r="AF44" s="5">
        <v>720</v>
      </c>
    </row>
    <row r="45" spans="1:32" ht="27.95" x14ac:dyDescent="0.3">
      <c r="A45" s="3">
        <v>39</v>
      </c>
      <c r="B45" s="3" t="str">
        <f>"202000058062"</f>
        <v>202000058062</v>
      </c>
      <c r="C45" s="3" t="str">
        <f>"127843"</f>
        <v>127843</v>
      </c>
      <c r="D45" s="3" t="s">
        <v>354</v>
      </c>
      <c r="E45" s="3">
        <v>20601514843</v>
      </c>
      <c r="F45" s="3" t="s">
        <v>355</v>
      </c>
      <c r="G45" s="3" t="s">
        <v>356</v>
      </c>
      <c r="H45" s="3" t="s">
        <v>187</v>
      </c>
      <c r="I45" s="3" t="s">
        <v>187</v>
      </c>
      <c r="J45" s="3" t="s">
        <v>357</v>
      </c>
      <c r="K45" s="3" t="s">
        <v>37</v>
      </c>
      <c r="L45" s="3" t="s">
        <v>74</v>
      </c>
      <c r="M45" s="3" t="s">
        <v>358</v>
      </c>
      <c r="N45" s="3" t="s">
        <v>359</v>
      </c>
      <c r="O45" s="3" t="s">
        <v>360</v>
      </c>
      <c r="P45" s="3" t="s">
        <v>41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>
        <v>18400</v>
      </c>
      <c r="AB45" s="3">
        <v>10000</v>
      </c>
      <c r="AC45" s="4">
        <v>43972</v>
      </c>
      <c r="AD45" s="3" t="s">
        <v>42</v>
      </c>
      <c r="AE45" s="3" t="s">
        <v>361</v>
      </c>
      <c r="AF45" s="3">
        <v>720</v>
      </c>
    </row>
    <row r="46" spans="1:32" x14ac:dyDescent="0.3">
      <c r="A46" s="5">
        <v>40</v>
      </c>
      <c r="B46" s="5" t="str">
        <f>"202000121790"</f>
        <v>202000121790</v>
      </c>
      <c r="C46" s="5" t="str">
        <f>"61877"</f>
        <v>61877</v>
      </c>
      <c r="D46" s="5" t="s">
        <v>362</v>
      </c>
      <c r="E46" s="5">
        <v>20525621040</v>
      </c>
      <c r="F46" s="5" t="s">
        <v>363</v>
      </c>
      <c r="G46" s="5" t="s">
        <v>364</v>
      </c>
      <c r="H46" s="5" t="s">
        <v>187</v>
      </c>
      <c r="I46" s="5" t="s">
        <v>187</v>
      </c>
      <c r="J46" s="5" t="s">
        <v>365</v>
      </c>
      <c r="K46" s="5" t="s">
        <v>37</v>
      </c>
      <c r="L46" s="5" t="s">
        <v>366</v>
      </c>
      <c r="M46" s="5" t="s">
        <v>367</v>
      </c>
      <c r="N46" s="5" t="s">
        <v>368</v>
      </c>
      <c r="O46" s="5" t="s">
        <v>74</v>
      </c>
      <c r="P46" s="5" t="s">
        <v>172</v>
      </c>
      <c r="Q46" s="5" t="s">
        <v>94</v>
      </c>
      <c r="R46" s="5"/>
      <c r="S46" s="5"/>
      <c r="T46" s="5"/>
      <c r="U46" s="5"/>
      <c r="V46" s="5"/>
      <c r="W46" s="5"/>
      <c r="X46" s="5"/>
      <c r="Y46" s="5"/>
      <c r="Z46" s="5"/>
      <c r="AA46" s="5">
        <v>13950</v>
      </c>
      <c r="AB46" s="5">
        <v>5000</v>
      </c>
      <c r="AC46" s="6">
        <v>44102</v>
      </c>
      <c r="AD46" s="5" t="s">
        <v>42</v>
      </c>
      <c r="AE46" s="5" t="s">
        <v>369</v>
      </c>
      <c r="AF46" s="5">
        <v>0</v>
      </c>
    </row>
    <row r="47" spans="1:32" ht="27.95" x14ac:dyDescent="0.3">
      <c r="A47" s="3">
        <v>41</v>
      </c>
      <c r="B47" s="3" t="str">
        <f>"201700160663"</f>
        <v>201700160663</v>
      </c>
      <c r="C47" s="3" t="str">
        <f>"94779"</f>
        <v>94779</v>
      </c>
      <c r="D47" s="3" t="s">
        <v>370</v>
      </c>
      <c r="E47" s="3">
        <v>10406485116</v>
      </c>
      <c r="F47" s="3" t="s">
        <v>371</v>
      </c>
      <c r="G47" s="3" t="s">
        <v>372</v>
      </c>
      <c r="H47" s="3" t="s">
        <v>58</v>
      </c>
      <c r="I47" s="3" t="s">
        <v>373</v>
      </c>
      <c r="J47" s="3" t="s">
        <v>374</v>
      </c>
      <c r="K47" s="3" t="s">
        <v>37</v>
      </c>
      <c r="L47" s="3" t="s">
        <v>375</v>
      </c>
      <c r="M47" s="3" t="s">
        <v>172</v>
      </c>
      <c r="N47" s="3" t="s">
        <v>74</v>
      </c>
      <c r="O47" s="3" t="s">
        <v>376</v>
      </c>
      <c r="P47" s="3" t="s">
        <v>94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>
        <v>13510</v>
      </c>
      <c r="AB47" s="3">
        <v>5000</v>
      </c>
      <c r="AC47" s="4">
        <v>43014</v>
      </c>
      <c r="AD47" s="3" t="s">
        <v>42</v>
      </c>
      <c r="AE47" s="3" t="s">
        <v>371</v>
      </c>
      <c r="AF47" s="3">
        <v>0</v>
      </c>
    </row>
    <row r="48" spans="1:32" ht="27.95" x14ac:dyDescent="0.3">
      <c r="A48" s="5">
        <v>42</v>
      </c>
      <c r="B48" s="5" t="str">
        <f>"201600062543"</f>
        <v>201600062543</v>
      </c>
      <c r="C48" s="5" t="str">
        <f>"6768"</f>
        <v>6768</v>
      </c>
      <c r="D48" s="5" t="s">
        <v>377</v>
      </c>
      <c r="E48" s="5">
        <v>20348303636</v>
      </c>
      <c r="F48" s="5" t="s">
        <v>378</v>
      </c>
      <c r="G48" s="5" t="s">
        <v>379</v>
      </c>
      <c r="H48" s="5" t="s">
        <v>329</v>
      </c>
      <c r="I48" s="5" t="s">
        <v>329</v>
      </c>
      <c r="J48" s="5" t="s">
        <v>330</v>
      </c>
      <c r="K48" s="5" t="s">
        <v>37</v>
      </c>
      <c r="L48" s="5" t="s">
        <v>380</v>
      </c>
      <c r="M48" s="5" t="s">
        <v>172</v>
      </c>
      <c r="N48" s="5" t="s">
        <v>72</v>
      </c>
      <c r="O48" s="5" t="s">
        <v>381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>
        <v>20000</v>
      </c>
      <c r="AB48" s="5">
        <v>2000</v>
      </c>
      <c r="AC48" s="6">
        <v>42510</v>
      </c>
      <c r="AD48" s="5" t="s">
        <v>42</v>
      </c>
      <c r="AE48" s="5" t="s">
        <v>382</v>
      </c>
      <c r="AF48" s="5">
        <v>0</v>
      </c>
    </row>
    <row r="49" spans="1:32" ht="41.95" x14ac:dyDescent="0.3">
      <c r="A49" s="3">
        <v>43</v>
      </c>
      <c r="B49" s="3" t="str">
        <f>"201900005675"</f>
        <v>201900005675</v>
      </c>
      <c r="C49" s="3" t="str">
        <f>"137870"</f>
        <v>137870</v>
      </c>
      <c r="D49" s="3" t="s">
        <v>383</v>
      </c>
      <c r="E49" s="3">
        <v>20603943199</v>
      </c>
      <c r="F49" s="3" t="s">
        <v>384</v>
      </c>
      <c r="G49" s="3" t="s">
        <v>385</v>
      </c>
      <c r="H49" s="3" t="s">
        <v>134</v>
      </c>
      <c r="I49" s="3" t="s">
        <v>135</v>
      </c>
      <c r="J49" s="3" t="s">
        <v>386</v>
      </c>
      <c r="K49" s="3" t="s">
        <v>37</v>
      </c>
      <c r="L49" s="3" t="s">
        <v>387</v>
      </c>
      <c r="M49" s="3" t="s">
        <v>388</v>
      </c>
      <c r="N49" s="3" t="s">
        <v>389</v>
      </c>
      <c r="O49" s="3" t="s">
        <v>390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>
        <v>21600</v>
      </c>
      <c r="AB49" s="3">
        <v>5200</v>
      </c>
      <c r="AC49" s="4">
        <v>43481</v>
      </c>
      <c r="AD49" s="3" t="s">
        <v>42</v>
      </c>
      <c r="AE49" s="3" t="s">
        <v>391</v>
      </c>
      <c r="AF49" s="3">
        <v>0</v>
      </c>
    </row>
    <row r="50" spans="1:32" x14ac:dyDescent="0.3">
      <c r="A50" s="5">
        <v>44</v>
      </c>
      <c r="B50" s="5" t="str">
        <f>"201600108962"</f>
        <v>201600108962</v>
      </c>
      <c r="C50" s="5" t="str">
        <f>"18553"</f>
        <v>18553</v>
      </c>
      <c r="D50" s="5" t="s">
        <v>392</v>
      </c>
      <c r="E50" s="5">
        <v>20503840121</v>
      </c>
      <c r="F50" s="5" t="s">
        <v>393</v>
      </c>
      <c r="G50" s="5" t="s">
        <v>394</v>
      </c>
      <c r="H50" s="5" t="s">
        <v>329</v>
      </c>
      <c r="I50" s="5" t="s">
        <v>329</v>
      </c>
      <c r="J50" s="5" t="s">
        <v>395</v>
      </c>
      <c r="K50" s="5" t="s">
        <v>37</v>
      </c>
      <c r="L50" s="5" t="s">
        <v>396</v>
      </c>
      <c r="M50" s="5" t="s">
        <v>50</v>
      </c>
      <c r="N50" s="5" t="s">
        <v>397</v>
      </c>
      <c r="O50" s="5" t="s">
        <v>61</v>
      </c>
      <c r="P50" s="5" t="s">
        <v>72</v>
      </c>
      <c r="Q50" s="5" t="s">
        <v>72</v>
      </c>
      <c r="R50" s="5" t="s">
        <v>398</v>
      </c>
      <c r="S50" s="5" t="s">
        <v>390</v>
      </c>
      <c r="T50" s="5"/>
      <c r="U50" s="5"/>
      <c r="V50" s="5"/>
      <c r="W50" s="5"/>
      <c r="X50" s="5"/>
      <c r="Y50" s="5"/>
      <c r="Z50" s="5"/>
      <c r="AA50" s="5">
        <v>42000</v>
      </c>
      <c r="AB50" s="5">
        <v>5200</v>
      </c>
      <c r="AC50" s="6">
        <v>42594</v>
      </c>
      <c r="AD50" s="5" t="s">
        <v>42</v>
      </c>
      <c r="AE50" s="5" t="s">
        <v>399</v>
      </c>
      <c r="AF50" s="5">
        <v>0</v>
      </c>
    </row>
    <row r="51" spans="1:32" x14ac:dyDescent="0.3">
      <c r="A51" s="3">
        <v>45</v>
      </c>
      <c r="B51" s="3" t="str">
        <f>"201700218620"</f>
        <v>201700218620</v>
      </c>
      <c r="C51" s="3" t="str">
        <f>"7897"</f>
        <v>7897</v>
      </c>
      <c r="D51" s="3" t="s">
        <v>400</v>
      </c>
      <c r="E51" s="3">
        <v>20523706803</v>
      </c>
      <c r="F51" s="3" t="s">
        <v>401</v>
      </c>
      <c r="G51" s="3" t="s">
        <v>402</v>
      </c>
      <c r="H51" s="3" t="s">
        <v>58</v>
      </c>
      <c r="I51" s="3" t="s">
        <v>58</v>
      </c>
      <c r="J51" s="3" t="s">
        <v>403</v>
      </c>
      <c r="K51" s="3" t="s">
        <v>37</v>
      </c>
      <c r="L51" s="3" t="s">
        <v>72</v>
      </c>
      <c r="M51" s="3" t="s">
        <v>72</v>
      </c>
      <c r="N51" s="3" t="s">
        <v>72</v>
      </c>
      <c r="O51" s="3" t="s">
        <v>61</v>
      </c>
      <c r="P51" s="3" t="s">
        <v>171</v>
      </c>
      <c r="Q51" s="3" t="s">
        <v>404</v>
      </c>
      <c r="R51" s="3" t="s">
        <v>161</v>
      </c>
      <c r="S51" s="3" t="s">
        <v>53</v>
      </c>
      <c r="T51" s="3" t="s">
        <v>381</v>
      </c>
      <c r="U51" s="3"/>
      <c r="V51" s="3"/>
      <c r="W51" s="3"/>
      <c r="X51" s="3"/>
      <c r="Y51" s="3"/>
      <c r="Z51" s="3"/>
      <c r="AA51" s="3">
        <v>54000</v>
      </c>
      <c r="AB51" s="3">
        <v>2000</v>
      </c>
      <c r="AC51" s="4">
        <v>43096</v>
      </c>
      <c r="AD51" s="3" t="s">
        <v>42</v>
      </c>
      <c r="AE51" s="3" t="s">
        <v>405</v>
      </c>
      <c r="AF51" s="3">
        <v>0</v>
      </c>
    </row>
    <row r="52" spans="1:32" x14ac:dyDescent="0.3">
      <c r="A52" s="5">
        <v>46</v>
      </c>
      <c r="B52" s="5" t="str">
        <f>"201600127459"</f>
        <v>201600127459</v>
      </c>
      <c r="C52" s="5" t="str">
        <f>"105578"</f>
        <v>105578</v>
      </c>
      <c r="D52" s="5" t="s">
        <v>406</v>
      </c>
      <c r="E52" s="5">
        <v>20270382551</v>
      </c>
      <c r="F52" s="5" t="s">
        <v>407</v>
      </c>
      <c r="G52" s="5" t="s">
        <v>408</v>
      </c>
      <c r="H52" s="5" t="s">
        <v>36</v>
      </c>
      <c r="I52" s="5" t="s">
        <v>409</v>
      </c>
      <c r="J52" s="5" t="s">
        <v>410</v>
      </c>
      <c r="K52" s="5" t="s">
        <v>37</v>
      </c>
      <c r="L52" s="5" t="s">
        <v>411</v>
      </c>
      <c r="M52" s="5" t="s">
        <v>49</v>
      </c>
      <c r="N52" s="5" t="s">
        <v>412</v>
      </c>
      <c r="O52" s="5" t="s">
        <v>413</v>
      </c>
      <c r="P52" s="5" t="s">
        <v>414</v>
      </c>
      <c r="Q52" s="5" t="s">
        <v>78</v>
      </c>
      <c r="R52" s="5"/>
      <c r="S52" s="5"/>
      <c r="T52" s="5"/>
      <c r="U52" s="5"/>
      <c r="V52" s="5"/>
      <c r="W52" s="5"/>
      <c r="X52" s="5"/>
      <c r="Y52" s="5"/>
      <c r="Z52" s="5"/>
      <c r="AA52" s="5">
        <v>18100</v>
      </c>
      <c r="AB52" s="5">
        <v>3200</v>
      </c>
      <c r="AC52" s="6">
        <v>42632</v>
      </c>
      <c r="AD52" s="5" t="s">
        <v>42</v>
      </c>
      <c r="AE52" s="5" t="s">
        <v>415</v>
      </c>
      <c r="AF52" s="5">
        <v>0</v>
      </c>
    </row>
    <row r="53" spans="1:32" ht="41.95" x14ac:dyDescent="0.3">
      <c r="A53" s="3">
        <v>47</v>
      </c>
      <c r="B53" s="3" t="str">
        <f>"201600142244"</f>
        <v>201600142244</v>
      </c>
      <c r="C53" s="3" t="str">
        <f>"33410"</f>
        <v>33410</v>
      </c>
      <c r="D53" s="3" t="s">
        <v>416</v>
      </c>
      <c r="E53" s="3">
        <v>20511433020</v>
      </c>
      <c r="F53" s="3" t="s">
        <v>417</v>
      </c>
      <c r="G53" s="3" t="s">
        <v>418</v>
      </c>
      <c r="H53" s="3" t="s">
        <v>329</v>
      </c>
      <c r="I53" s="3" t="s">
        <v>329</v>
      </c>
      <c r="J53" s="3" t="s">
        <v>330</v>
      </c>
      <c r="K53" s="3" t="s">
        <v>37</v>
      </c>
      <c r="L53" s="3" t="s">
        <v>72</v>
      </c>
      <c r="M53" s="3" t="s">
        <v>419</v>
      </c>
      <c r="N53" s="3" t="s">
        <v>398</v>
      </c>
      <c r="O53" s="3" t="s">
        <v>76</v>
      </c>
      <c r="P53" s="3" t="s">
        <v>247</v>
      </c>
      <c r="Q53" s="3" t="s">
        <v>103</v>
      </c>
      <c r="R53" s="3"/>
      <c r="S53" s="3"/>
      <c r="T53" s="3"/>
      <c r="U53" s="3"/>
      <c r="V53" s="3"/>
      <c r="W53" s="3"/>
      <c r="X53" s="3"/>
      <c r="Y53" s="3"/>
      <c r="Z53" s="3"/>
      <c r="AA53" s="3">
        <v>19000</v>
      </c>
      <c r="AB53" s="3">
        <v>2500</v>
      </c>
      <c r="AC53" s="4">
        <v>42668</v>
      </c>
      <c r="AD53" s="3" t="s">
        <v>42</v>
      </c>
      <c r="AE53" s="3" t="s">
        <v>420</v>
      </c>
      <c r="AF53" s="3">
        <v>0</v>
      </c>
    </row>
    <row r="54" spans="1:32" ht="27.95" x14ac:dyDescent="0.3">
      <c r="A54" s="5">
        <v>48</v>
      </c>
      <c r="B54" s="5" t="str">
        <f>"201600127454"</f>
        <v>201600127454</v>
      </c>
      <c r="C54" s="5" t="str">
        <f>"8056"</f>
        <v>8056</v>
      </c>
      <c r="D54" s="5" t="s">
        <v>421</v>
      </c>
      <c r="E54" s="5">
        <v>20270382551</v>
      </c>
      <c r="F54" s="5" t="s">
        <v>407</v>
      </c>
      <c r="G54" s="5" t="s">
        <v>422</v>
      </c>
      <c r="H54" s="5" t="s">
        <v>36</v>
      </c>
      <c r="I54" s="5" t="s">
        <v>409</v>
      </c>
      <c r="J54" s="5" t="s">
        <v>409</v>
      </c>
      <c r="K54" s="5" t="s">
        <v>37</v>
      </c>
      <c r="L54" s="5" t="s">
        <v>423</v>
      </c>
      <c r="M54" s="5" t="s">
        <v>423</v>
      </c>
      <c r="N54" s="5" t="s">
        <v>424</v>
      </c>
      <c r="O54" s="5" t="s">
        <v>425</v>
      </c>
      <c r="P54" s="5" t="s">
        <v>423</v>
      </c>
      <c r="Q54" s="5" t="s">
        <v>423</v>
      </c>
      <c r="R54" s="5" t="s">
        <v>78</v>
      </c>
      <c r="S54" s="5"/>
      <c r="T54" s="5"/>
      <c r="U54" s="5"/>
      <c r="V54" s="5"/>
      <c r="W54" s="5"/>
      <c r="X54" s="5"/>
      <c r="Y54" s="5"/>
      <c r="Z54" s="5"/>
      <c r="AA54" s="5">
        <v>23745</v>
      </c>
      <c r="AB54" s="5">
        <v>3200</v>
      </c>
      <c r="AC54" s="6">
        <v>42623</v>
      </c>
      <c r="AD54" s="5" t="s">
        <v>42</v>
      </c>
      <c r="AE54" s="5" t="s">
        <v>415</v>
      </c>
      <c r="AF54" s="5">
        <v>0</v>
      </c>
    </row>
    <row r="55" spans="1:32" ht="27.95" x14ac:dyDescent="0.3">
      <c r="A55" s="3">
        <v>49</v>
      </c>
      <c r="B55" s="3" t="str">
        <f>"201900102656"</f>
        <v>201900102656</v>
      </c>
      <c r="C55" s="3" t="str">
        <f>"21483"</f>
        <v>21483</v>
      </c>
      <c r="D55" s="3" t="s">
        <v>426</v>
      </c>
      <c r="E55" s="3">
        <v>20445672531</v>
      </c>
      <c r="F55" s="3" t="s">
        <v>427</v>
      </c>
      <c r="G55" s="3" t="s">
        <v>428</v>
      </c>
      <c r="H55" s="3" t="s">
        <v>116</v>
      </c>
      <c r="I55" s="3" t="s">
        <v>339</v>
      </c>
      <c r="J55" s="3" t="s">
        <v>340</v>
      </c>
      <c r="K55" s="3" t="s">
        <v>37</v>
      </c>
      <c r="L55" s="3" t="s">
        <v>429</v>
      </c>
      <c r="M55" s="3" t="s">
        <v>430</v>
      </c>
      <c r="N55" s="3" t="s">
        <v>431</v>
      </c>
      <c r="O55" s="3" t="s">
        <v>78</v>
      </c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18168</v>
      </c>
      <c r="AB55" s="3">
        <v>3200</v>
      </c>
      <c r="AC55" s="4">
        <v>43648</v>
      </c>
      <c r="AD55" s="3" t="s">
        <v>42</v>
      </c>
      <c r="AE55" s="3" t="s">
        <v>432</v>
      </c>
      <c r="AF55" s="3">
        <v>0</v>
      </c>
    </row>
    <row r="56" spans="1:32" ht="27.95" x14ac:dyDescent="0.3">
      <c r="A56" s="5">
        <v>50</v>
      </c>
      <c r="B56" s="5" t="str">
        <f>"202000056149"</f>
        <v>202000056149</v>
      </c>
      <c r="C56" s="5" t="str">
        <f>"90236"</f>
        <v>90236</v>
      </c>
      <c r="D56" s="5" t="s">
        <v>433</v>
      </c>
      <c r="E56" s="5">
        <v>20600737563</v>
      </c>
      <c r="F56" s="5" t="s">
        <v>434</v>
      </c>
      <c r="G56" s="5" t="s">
        <v>435</v>
      </c>
      <c r="H56" s="5" t="s">
        <v>436</v>
      </c>
      <c r="I56" s="5" t="s">
        <v>437</v>
      </c>
      <c r="J56" s="5" t="s">
        <v>437</v>
      </c>
      <c r="K56" s="5" t="s">
        <v>37</v>
      </c>
      <c r="L56" s="5" t="s">
        <v>438</v>
      </c>
      <c r="M56" s="5" t="s">
        <v>439</v>
      </c>
      <c r="N56" s="5" t="s">
        <v>120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>
        <v>12000</v>
      </c>
      <c r="AB56" s="5">
        <v>3500</v>
      </c>
      <c r="AC56" s="6">
        <v>43964</v>
      </c>
      <c r="AD56" s="5" t="s">
        <v>42</v>
      </c>
      <c r="AE56" s="5" t="s">
        <v>440</v>
      </c>
      <c r="AF56" s="5">
        <v>240</v>
      </c>
    </row>
    <row r="57" spans="1:32" x14ac:dyDescent="0.3">
      <c r="A57" s="3">
        <v>51</v>
      </c>
      <c r="B57" s="3" t="str">
        <f>"201500168545"</f>
        <v>201500168545</v>
      </c>
      <c r="C57" s="3" t="str">
        <f>"16640"</f>
        <v>16640</v>
      </c>
      <c r="D57" s="3" t="s">
        <v>441</v>
      </c>
      <c r="E57" s="3">
        <v>20503840121</v>
      </c>
      <c r="F57" s="3" t="s">
        <v>442</v>
      </c>
      <c r="G57" s="3" t="s">
        <v>443</v>
      </c>
      <c r="H57" s="3" t="s">
        <v>58</v>
      </c>
      <c r="I57" s="3" t="s">
        <v>58</v>
      </c>
      <c r="J57" s="3" t="s">
        <v>444</v>
      </c>
      <c r="K57" s="3" t="s">
        <v>37</v>
      </c>
      <c r="L57" s="3" t="s">
        <v>445</v>
      </c>
      <c r="M57" s="3" t="s">
        <v>166</v>
      </c>
      <c r="N57" s="3" t="s">
        <v>446</v>
      </c>
      <c r="O57" s="3" t="s">
        <v>164</v>
      </c>
      <c r="P57" s="3" t="s">
        <v>232</v>
      </c>
      <c r="Q57" s="3"/>
      <c r="R57" s="3"/>
      <c r="S57" s="3"/>
      <c r="T57" s="3"/>
      <c r="U57" s="3"/>
      <c r="V57" s="3"/>
      <c r="W57" s="3"/>
      <c r="X57" s="3"/>
      <c r="Y57" s="3"/>
      <c r="Z57" s="3"/>
      <c r="AA57" s="3">
        <v>40000</v>
      </c>
      <c r="AB57" s="3">
        <v>3200</v>
      </c>
      <c r="AC57" s="4">
        <v>42359</v>
      </c>
      <c r="AD57" s="3" t="s">
        <v>42</v>
      </c>
      <c r="AE57" s="3" t="s">
        <v>399</v>
      </c>
      <c r="AF57" s="3">
        <v>0</v>
      </c>
    </row>
    <row r="58" spans="1:32" ht="41.95" x14ac:dyDescent="0.3">
      <c r="A58" s="5">
        <v>52</v>
      </c>
      <c r="B58" s="5" t="str">
        <f>"201700191088"</f>
        <v>201700191088</v>
      </c>
      <c r="C58" s="5" t="str">
        <f>"132827"</f>
        <v>132827</v>
      </c>
      <c r="D58" s="5" t="s">
        <v>447</v>
      </c>
      <c r="E58" s="5">
        <v>20541421379</v>
      </c>
      <c r="F58" s="5" t="s">
        <v>448</v>
      </c>
      <c r="G58" s="5" t="s">
        <v>449</v>
      </c>
      <c r="H58" s="5" t="s">
        <v>450</v>
      </c>
      <c r="I58" s="5" t="s">
        <v>451</v>
      </c>
      <c r="J58" s="5" t="s">
        <v>452</v>
      </c>
      <c r="K58" s="5" t="s">
        <v>37</v>
      </c>
      <c r="L58" s="5" t="s">
        <v>102</v>
      </c>
      <c r="M58" s="5" t="s">
        <v>453</v>
      </c>
      <c r="N58" s="5" t="s">
        <v>94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>
        <v>10000</v>
      </c>
      <c r="AB58" s="5">
        <v>5000</v>
      </c>
      <c r="AC58" s="6">
        <v>43053</v>
      </c>
      <c r="AD58" s="5" t="s">
        <v>42</v>
      </c>
      <c r="AE58" s="5" t="s">
        <v>454</v>
      </c>
      <c r="AF58" s="5">
        <v>0</v>
      </c>
    </row>
    <row r="59" spans="1:32" ht="27.95" x14ac:dyDescent="0.3">
      <c r="A59" s="3">
        <v>53</v>
      </c>
      <c r="B59" s="3" t="str">
        <f>"201900175143"</f>
        <v>201900175143</v>
      </c>
      <c r="C59" s="3" t="str">
        <f>"62527"</f>
        <v>62527</v>
      </c>
      <c r="D59" s="3" t="s">
        <v>455</v>
      </c>
      <c r="E59" s="3">
        <v>20539913434</v>
      </c>
      <c r="F59" s="3" t="s">
        <v>456</v>
      </c>
      <c r="G59" s="3" t="s">
        <v>457</v>
      </c>
      <c r="H59" s="3" t="s">
        <v>219</v>
      </c>
      <c r="I59" s="3" t="s">
        <v>220</v>
      </c>
      <c r="J59" s="3" t="s">
        <v>458</v>
      </c>
      <c r="K59" s="3" t="s">
        <v>37</v>
      </c>
      <c r="L59" s="3" t="s">
        <v>459</v>
      </c>
      <c r="M59" s="3" t="s">
        <v>460</v>
      </c>
      <c r="N59" s="3" t="s">
        <v>461</v>
      </c>
      <c r="O59" s="3" t="s">
        <v>462</v>
      </c>
      <c r="P59" s="3" t="s">
        <v>463</v>
      </c>
      <c r="Q59" s="3" t="s">
        <v>464</v>
      </c>
      <c r="R59" s="3" t="s">
        <v>120</v>
      </c>
      <c r="S59" s="3"/>
      <c r="T59" s="3"/>
      <c r="U59" s="3"/>
      <c r="V59" s="3"/>
      <c r="W59" s="3"/>
      <c r="X59" s="3"/>
      <c r="Y59" s="3"/>
      <c r="Z59" s="3"/>
      <c r="AA59" s="3">
        <v>13765</v>
      </c>
      <c r="AB59" s="3">
        <v>3500</v>
      </c>
      <c r="AC59" s="4">
        <v>43764</v>
      </c>
      <c r="AD59" s="3" t="s">
        <v>42</v>
      </c>
      <c r="AE59" s="3" t="s">
        <v>465</v>
      </c>
      <c r="AF59" s="3">
        <v>0</v>
      </c>
    </row>
    <row r="60" spans="1:32" ht="27.95" x14ac:dyDescent="0.3">
      <c r="A60" s="5">
        <v>54</v>
      </c>
      <c r="B60" s="5" t="str">
        <f>"202000056161"</f>
        <v>202000056161</v>
      </c>
      <c r="C60" s="5" t="str">
        <f>"144331"</f>
        <v>144331</v>
      </c>
      <c r="D60" s="5" t="s">
        <v>466</v>
      </c>
      <c r="E60" s="5">
        <v>20603191481</v>
      </c>
      <c r="F60" s="5" t="s">
        <v>467</v>
      </c>
      <c r="G60" s="5" t="s">
        <v>468</v>
      </c>
      <c r="H60" s="5" t="s">
        <v>187</v>
      </c>
      <c r="I60" s="5" t="s">
        <v>187</v>
      </c>
      <c r="J60" s="5" t="s">
        <v>187</v>
      </c>
      <c r="K60" s="5" t="s">
        <v>37</v>
      </c>
      <c r="L60" s="5" t="s">
        <v>72</v>
      </c>
      <c r="M60" s="5" t="s">
        <v>469</v>
      </c>
      <c r="N60" s="5" t="s">
        <v>470</v>
      </c>
      <c r="O60" s="5" t="s">
        <v>78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>
        <v>24000</v>
      </c>
      <c r="AB60" s="5">
        <v>3200</v>
      </c>
      <c r="AC60" s="6">
        <v>43964</v>
      </c>
      <c r="AD60" s="5" t="s">
        <v>42</v>
      </c>
      <c r="AE60" s="5" t="s">
        <v>471</v>
      </c>
      <c r="AF60" s="5">
        <v>720</v>
      </c>
    </row>
    <row r="61" spans="1:32" x14ac:dyDescent="0.3">
      <c r="A61" s="3">
        <v>55</v>
      </c>
      <c r="B61" s="3" t="str">
        <f>"201200155342"</f>
        <v>201200155342</v>
      </c>
      <c r="C61" s="3" t="str">
        <f>"15222"</f>
        <v>15222</v>
      </c>
      <c r="D61" s="3" t="s">
        <v>472</v>
      </c>
      <c r="E61" s="3">
        <v>20112401351</v>
      </c>
      <c r="F61" s="3" t="s">
        <v>473</v>
      </c>
      <c r="G61" s="3" t="s">
        <v>474</v>
      </c>
      <c r="H61" s="3" t="s">
        <v>108</v>
      </c>
      <c r="I61" s="3" t="s">
        <v>475</v>
      </c>
      <c r="J61" s="3" t="s">
        <v>451</v>
      </c>
      <c r="K61" s="3" t="s">
        <v>37</v>
      </c>
      <c r="L61" s="3" t="s">
        <v>476</v>
      </c>
      <c r="M61" s="3" t="s">
        <v>477</v>
      </c>
      <c r="N61" s="3" t="s">
        <v>478</v>
      </c>
      <c r="O61" s="3" t="s">
        <v>174</v>
      </c>
      <c r="P61" s="3" t="s">
        <v>262</v>
      </c>
      <c r="Q61" s="3" t="s">
        <v>479</v>
      </c>
      <c r="R61" s="3" t="s">
        <v>480</v>
      </c>
      <c r="S61" s="3"/>
      <c r="T61" s="3"/>
      <c r="U61" s="3"/>
      <c r="V61" s="3"/>
      <c r="W61" s="3"/>
      <c r="X61" s="3"/>
      <c r="Y61" s="3"/>
      <c r="Z61" s="3"/>
      <c r="AA61" s="3">
        <v>29500</v>
      </c>
      <c r="AB61" s="3">
        <v>7800</v>
      </c>
      <c r="AC61" s="4">
        <v>41132</v>
      </c>
      <c r="AD61" s="3" t="s">
        <v>42</v>
      </c>
      <c r="AE61" s="3" t="s">
        <v>481</v>
      </c>
      <c r="AF61" s="3">
        <v>240</v>
      </c>
    </row>
    <row r="62" spans="1:32" ht="27.95" x14ac:dyDescent="0.3">
      <c r="A62" s="5">
        <v>56</v>
      </c>
      <c r="B62" s="5" t="str">
        <f>"201800198815"</f>
        <v>201800198815</v>
      </c>
      <c r="C62" s="5" t="str">
        <f>"8812"</f>
        <v>8812</v>
      </c>
      <c r="D62" s="5" t="s">
        <v>482</v>
      </c>
      <c r="E62" s="5">
        <v>20119207640</v>
      </c>
      <c r="F62" s="5" t="s">
        <v>483</v>
      </c>
      <c r="G62" s="5" t="s">
        <v>484</v>
      </c>
      <c r="H62" s="5" t="s">
        <v>89</v>
      </c>
      <c r="I62" s="5" t="s">
        <v>89</v>
      </c>
      <c r="J62" s="5" t="s">
        <v>485</v>
      </c>
      <c r="K62" s="5" t="s">
        <v>37</v>
      </c>
      <c r="L62" s="5" t="s">
        <v>486</v>
      </c>
      <c r="M62" s="5" t="s">
        <v>487</v>
      </c>
      <c r="N62" s="5" t="s">
        <v>488</v>
      </c>
      <c r="O62" s="5" t="s">
        <v>359</v>
      </c>
      <c r="P62" s="5" t="s">
        <v>381</v>
      </c>
      <c r="Q62" s="5"/>
      <c r="R62" s="5"/>
      <c r="S62" s="5"/>
      <c r="T62" s="5"/>
      <c r="U62" s="5"/>
      <c r="V62" s="5"/>
      <c r="W62" s="5"/>
      <c r="X62" s="5"/>
      <c r="Y62" s="5"/>
      <c r="Z62" s="5"/>
      <c r="AA62" s="5">
        <v>14680</v>
      </c>
      <c r="AB62" s="5">
        <v>2000</v>
      </c>
      <c r="AC62" s="6">
        <v>43433</v>
      </c>
      <c r="AD62" s="5" t="s">
        <v>42</v>
      </c>
      <c r="AE62" s="5" t="s">
        <v>489</v>
      </c>
      <c r="AF62" s="5">
        <v>0</v>
      </c>
    </row>
    <row r="63" spans="1:32" ht="27.95" x14ac:dyDescent="0.3">
      <c r="A63" s="3">
        <v>57</v>
      </c>
      <c r="B63" s="3" t="str">
        <f>"201700113162"</f>
        <v>201700113162</v>
      </c>
      <c r="C63" s="3" t="str">
        <f>"63898"</f>
        <v>63898</v>
      </c>
      <c r="D63" s="3" t="s">
        <v>490</v>
      </c>
      <c r="E63" s="3">
        <v>10224233987</v>
      </c>
      <c r="F63" s="3" t="s">
        <v>491</v>
      </c>
      <c r="G63" s="3" t="s">
        <v>492</v>
      </c>
      <c r="H63" s="3" t="s">
        <v>125</v>
      </c>
      <c r="I63" s="3" t="s">
        <v>125</v>
      </c>
      <c r="J63" s="3" t="s">
        <v>126</v>
      </c>
      <c r="K63" s="3" t="s">
        <v>37</v>
      </c>
      <c r="L63" s="3" t="s">
        <v>63</v>
      </c>
      <c r="M63" s="3" t="s">
        <v>493</v>
      </c>
      <c r="N63" s="3" t="s">
        <v>494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>
        <v>12000</v>
      </c>
      <c r="AB63" s="3">
        <v>3400</v>
      </c>
      <c r="AC63" s="4">
        <v>42937</v>
      </c>
      <c r="AD63" s="3" t="s">
        <v>42</v>
      </c>
      <c r="AE63" s="3" t="s">
        <v>491</v>
      </c>
      <c r="AF63" s="3">
        <v>0</v>
      </c>
    </row>
    <row r="64" spans="1:32" ht="27.95" x14ac:dyDescent="0.3">
      <c r="A64" s="5">
        <v>58</v>
      </c>
      <c r="B64" s="5" t="str">
        <f>"201200139843"</f>
        <v>201200139843</v>
      </c>
      <c r="C64" s="5" t="str">
        <f>"20126"</f>
        <v>20126</v>
      </c>
      <c r="D64" s="5" t="s">
        <v>495</v>
      </c>
      <c r="E64" s="5">
        <v>20361889011</v>
      </c>
      <c r="F64" s="5" t="s">
        <v>496</v>
      </c>
      <c r="G64" s="5" t="s">
        <v>497</v>
      </c>
      <c r="H64" s="5" t="s">
        <v>58</v>
      </c>
      <c r="I64" s="5" t="s">
        <v>498</v>
      </c>
      <c r="J64" s="5" t="s">
        <v>498</v>
      </c>
      <c r="K64" s="5" t="s">
        <v>37</v>
      </c>
      <c r="L64" s="5" t="s">
        <v>72</v>
      </c>
      <c r="M64" s="5" t="s">
        <v>499</v>
      </c>
      <c r="N64" s="5" t="s">
        <v>500</v>
      </c>
      <c r="O64" s="5" t="s">
        <v>248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24000</v>
      </c>
      <c r="AB64" s="5">
        <v>3000</v>
      </c>
      <c r="AC64" s="6">
        <v>41106</v>
      </c>
      <c r="AD64" s="5" t="s">
        <v>42</v>
      </c>
      <c r="AE64" s="5" t="s">
        <v>501</v>
      </c>
      <c r="AF64" s="5">
        <v>240</v>
      </c>
    </row>
    <row r="65" spans="1:32" x14ac:dyDescent="0.3">
      <c r="A65" s="3">
        <v>59</v>
      </c>
      <c r="B65" s="3" t="str">
        <f>"201800059322"</f>
        <v>201800059322</v>
      </c>
      <c r="C65" s="3" t="str">
        <f>"18538"</f>
        <v>18538</v>
      </c>
      <c r="D65" s="3" t="s">
        <v>502</v>
      </c>
      <c r="E65" s="3">
        <v>20503840121</v>
      </c>
      <c r="F65" s="3" t="s">
        <v>442</v>
      </c>
      <c r="G65" s="3" t="s">
        <v>503</v>
      </c>
      <c r="H65" s="3" t="s">
        <v>89</v>
      </c>
      <c r="I65" s="3" t="s">
        <v>89</v>
      </c>
      <c r="J65" s="3" t="s">
        <v>309</v>
      </c>
      <c r="K65" s="3" t="s">
        <v>37</v>
      </c>
      <c r="L65" s="3" t="s">
        <v>504</v>
      </c>
      <c r="M65" s="3" t="s">
        <v>505</v>
      </c>
      <c r="N65" s="3" t="s">
        <v>404</v>
      </c>
      <c r="O65" s="3" t="s">
        <v>390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>
        <v>20000</v>
      </c>
      <c r="AB65" s="3">
        <v>5200</v>
      </c>
      <c r="AC65" s="4">
        <v>43203</v>
      </c>
      <c r="AD65" s="3" t="s">
        <v>42</v>
      </c>
      <c r="AE65" s="3" t="s">
        <v>399</v>
      </c>
      <c r="AF65" s="3">
        <v>0</v>
      </c>
    </row>
    <row r="66" spans="1:32" x14ac:dyDescent="0.3">
      <c r="A66" s="5">
        <v>60</v>
      </c>
      <c r="B66" s="5" t="str">
        <f>"202000118117"</f>
        <v>202000118117</v>
      </c>
      <c r="C66" s="5" t="str">
        <f>"7252"</f>
        <v>7252</v>
      </c>
      <c r="D66" s="5" t="s">
        <v>506</v>
      </c>
      <c r="E66" s="5">
        <v>20606059729</v>
      </c>
      <c r="F66" s="5" t="s">
        <v>507</v>
      </c>
      <c r="G66" s="5" t="s">
        <v>508</v>
      </c>
      <c r="H66" s="5" t="s">
        <v>125</v>
      </c>
      <c r="I66" s="5" t="s">
        <v>509</v>
      </c>
      <c r="J66" s="5" t="s">
        <v>510</v>
      </c>
      <c r="K66" s="5" t="s">
        <v>37</v>
      </c>
      <c r="L66" s="5" t="s">
        <v>387</v>
      </c>
      <c r="M66" s="5" t="s">
        <v>511</v>
      </c>
      <c r="N66" s="5" t="s">
        <v>512</v>
      </c>
      <c r="O66" s="5" t="s">
        <v>94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>
        <v>29500</v>
      </c>
      <c r="AB66" s="5">
        <v>5000</v>
      </c>
      <c r="AC66" s="6">
        <v>44085</v>
      </c>
      <c r="AD66" s="6">
        <v>44450</v>
      </c>
      <c r="AE66" s="5" t="s">
        <v>513</v>
      </c>
      <c r="AF66" s="5">
        <v>0</v>
      </c>
    </row>
    <row r="67" spans="1:32" ht="27.95" x14ac:dyDescent="0.3">
      <c r="A67" s="3">
        <v>61</v>
      </c>
      <c r="B67" s="3" t="str">
        <f>"201700126748"</f>
        <v>201700126748</v>
      </c>
      <c r="C67" s="3" t="str">
        <f>"131087"</f>
        <v>131087</v>
      </c>
      <c r="D67" s="3" t="s">
        <v>514</v>
      </c>
      <c r="E67" s="3">
        <v>20602031064</v>
      </c>
      <c r="F67" s="3" t="s">
        <v>515</v>
      </c>
      <c r="G67" s="3" t="s">
        <v>516</v>
      </c>
      <c r="H67" s="3" t="s">
        <v>36</v>
      </c>
      <c r="I67" s="3" t="s">
        <v>36</v>
      </c>
      <c r="J67" s="3" t="s">
        <v>517</v>
      </c>
      <c r="K67" s="3" t="s">
        <v>37</v>
      </c>
      <c r="L67" s="3" t="s">
        <v>518</v>
      </c>
      <c r="M67" s="3" t="s">
        <v>519</v>
      </c>
      <c r="N67" s="3" t="s">
        <v>78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v>9000</v>
      </c>
      <c r="AB67" s="3">
        <v>3200</v>
      </c>
      <c r="AC67" s="4">
        <v>42967</v>
      </c>
      <c r="AD67" s="3" t="s">
        <v>42</v>
      </c>
      <c r="AE67" s="3" t="s">
        <v>520</v>
      </c>
      <c r="AF67" s="3">
        <v>0</v>
      </c>
    </row>
    <row r="68" spans="1:32" x14ac:dyDescent="0.3">
      <c r="A68" s="5">
        <v>62</v>
      </c>
      <c r="B68" s="5" t="str">
        <f>"201800198818"</f>
        <v>201800198818</v>
      </c>
      <c r="C68" s="5" t="str">
        <f>"7353"</f>
        <v>7353</v>
      </c>
      <c r="D68" s="5" t="s">
        <v>521</v>
      </c>
      <c r="E68" s="5">
        <v>20119207640</v>
      </c>
      <c r="F68" s="5" t="s">
        <v>522</v>
      </c>
      <c r="G68" s="5" t="s">
        <v>523</v>
      </c>
      <c r="H68" s="5" t="s">
        <v>89</v>
      </c>
      <c r="I68" s="5" t="s">
        <v>89</v>
      </c>
      <c r="J68" s="5" t="s">
        <v>89</v>
      </c>
      <c r="K68" s="5" t="s">
        <v>37</v>
      </c>
      <c r="L68" s="5" t="s">
        <v>524</v>
      </c>
      <c r="M68" s="5" t="s">
        <v>525</v>
      </c>
      <c r="N68" s="5" t="s">
        <v>526</v>
      </c>
      <c r="O68" s="5" t="s">
        <v>527</v>
      </c>
      <c r="P68" s="5" t="s">
        <v>397</v>
      </c>
      <c r="Q68" s="5" t="s">
        <v>381</v>
      </c>
      <c r="R68" s="5"/>
      <c r="S68" s="5"/>
      <c r="T68" s="5"/>
      <c r="U68" s="5"/>
      <c r="V68" s="5"/>
      <c r="W68" s="5"/>
      <c r="X68" s="5"/>
      <c r="Y68" s="5"/>
      <c r="Z68" s="5"/>
      <c r="AA68" s="5">
        <v>22700</v>
      </c>
      <c r="AB68" s="5">
        <v>2000</v>
      </c>
      <c r="AC68" s="6">
        <v>43439</v>
      </c>
      <c r="AD68" s="5" t="s">
        <v>42</v>
      </c>
      <c r="AE68" s="5" t="s">
        <v>528</v>
      </c>
      <c r="AF68" s="5">
        <v>0</v>
      </c>
    </row>
    <row r="69" spans="1:32" x14ac:dyDescent="0.3">
      <c r="A69" s="3">
        <v>63</v>
      </c>
      <c r="B69" s="3" t="str">
        <f>"202000006389"</f>
        <v>202000006389</v>
      </c>
      <c r="C69" s="3" t="str">
        <f>"15515"</f>
        <v>15515</v>
      </c>
      <c r="D69" s="3" t="s">
        <v>529</v>
      </c>
      <c r="E69" s="3">
        <v>20447388996</v>
      </c>
      <c r="F69" s="3" t="s">
        <v>530</v>
      </c>
      <c r="G69" s="3" t="s">
        <v>531</v>
      </c>
      <c r="H69" s="3" t="s">
        <v>532</v>
      </c>
      <c r="I69" s="3" t="s">
        <v>532</v>
      </c>
      <c r="J69" s="3" t="s">
        <v>533</v>
      </c>
      <c r="K69" s="3" t="s">
        <v>37</v>
      </c>
      <c r="L69" s="3" t="s">
        <v>171</v>
      </c>
      <c r="M69" s="3" t="s">
        <v>172</v>
      </c>
      <c r="N69" s="3" t="s">
        <v>174</v>
      </c>
      <c r="O69" s="3" t="s">
        <v>54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>
        <v>12000</v>
      </c>
      <c r="AB69" s="3">
        <v>4000</v>
      </c>
      <c r="AC69" s="4">
        <v>43850</v>
      </c>
      <c r="AD69" s="3" t="s">
        <v>42</v>
      </c>
      <c r="AE69" s="3" t="s">
        <v>534</v>
      </c>
      <c r="AF69" s="3">
        <v>720</v>
      </c>
    </row>
    <row r="70" spans="1:32" ht="27.95" x14ac:dyDescent="0.3">
      <c r="A70" s="5">
        <v>64</v>
      </c>
      <c r="B70" s="5" t="str">
        <f>"201400083938"</f>
        <v>201400083938</v>
      </c>
      <c r="C70" s="5" t="str">
        <f>"39424"</f>
        <v>39424</v>
      </c>
      <c r="D70" s="5" t="s">
        <v>535</v>
      </c>
      <c r="E70" s="5">
        <v>20511193045</v>
      </c>
      <c r="F70" s="5" t="s">
        <v>536</v>
      </c>
      <c r="G70" s="5" t="s">
        <v>537</v>
      </c>
      <c r="H70" s="5" t="s">
        <v>219</v>
      </c>
      <c r="I70" s="5" t="s">
        <v>220</v>
      </c>
      <c r="J70" s="5" t="s">
        <v>220</v>
      </c>
      <c r="K70" s="5" t="s">
        <v>37</v>
      </c>
      <c r="L70" s="5" t="s">
        <v>538</v>
      </c>
      <c r="M70" s="5" t="s">
        <v>538</v>
      </c>
      <c r="N70" s="5" t="s">
        <v>539</v>
      </c>
      <c r="O70" s="5" t="s">
        <v>540</v>
      </c>
      <c r="P70" s="5" t="s">
        <v>154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>
        <v>20040</v>
      </c>
      <c r="AB70" s="5">
        <v>6000</v>
      </c>
      <c r="AC70" s="6">
        <v>41833</v>
      </c>
      <c r="AD70" s="5" t="s">
        <v>42</v>
      </c>
      <c r="AE70" s="5" t="s">
        <v>541</v>
      </c>
      <c r="AF70" s="5">
        <v>0</v>
      </c>
    </row>
    <row r="71" spans="1:32" x14ac:dyDescent="0.3">
      <c r="A71" s="3">
        <v>65</v>
      </c>
      <c r="B71" s="3" t="str">
        <f>"201800178847"</f>
        <v>201800178847</v>
      </c>
      <c r="C71" s="3" t="str">
        <f>"14722"</f>
        <v>14722</v>
      </c>
      <c r="D71" s="3" t="s">
        <v>542</v>
      </c>
      <c r="E71" s="3">
        <v>20334129595</v>
      </c>
      <c r="F71" s="3" t="s">
        <v>543</v>
      </c>
      <c r="G71" s="3" t="s">
        <v>544</v>
      </c>
      <c r="H71" s="3" t="s">
        <v>58</v>
      </c>
      <c r="I71" s="3" t="s">
        <v>58</v>
      </c>
      <c r="J71" s="3" t="s">
        <v>545</v>
      </c>
      <c r="K71" s="3" t="s">
        <v>37</v>
      </c>
      <c r="L71" s="3" t="s">
        <v>546</v>
      </c>
      <c r="M71" s="3" t="s">
        <v>546</v>
      </c>
      <c r="N71" s="3" t="s">
        <v>546</v>
      </c>
      <c r="O71" s="3" t="s">
        <v>547</v>
      </c>
      <c r="P71" s="3" t="s">
        <v>547</v>
      </c>
      <c r="Q71" s="3" t="s">
        <v>548</v>
      </c>
      <c r="R71" s="3" t="s">
        <v>549</v>
      </c>
      <c r="S71" s="3"/>
      <c r="T71" s="3"/>
      <c r="U71" s="3"/>
      <c r="V71" s="3"/>
      <c r="W71" s="3"/>
      <c r="X71" s="3"/>
      <c r="Y71" s="3"/>
      <c r="Z71" s="3"/>
      <c r="AA71" s="3">
        <v>36050</v>
      </c>
      <c r="AB71" s="3">
        <v>2500</v>
      </c>
      <c r="AC71" s="4">
        <v>43407</v>
      </c>
      <c r="AD71" s="3" t="s">
        <v>42</v>
      </c>
      <c r="AE71" s="3" t="s">
        <v>550</v>
      </c>
      <c r="AF71" s="3">
        <v>0</v>
      </c>
    </row>
    <row r="72" spans="1:32" ht="27.95" x14ac:dyDescent="0.3">
      <c r="A72" s="5">
        <v>66</v>
      </c>
      <c r="B72" s="5" t="str">
        <f>"202000099469"</f>
        <v>202000099469</v>
      </c>
      <c r="C72" s="5" t="str">
        <f>"134208"</f>
        <v>134208</v>
      </c>
      <c r="D72" s="5" t="s">
        <v>551</v>
      </c>
      <c r="E72" s="5">
        <v>20198954757</v>
      </c>
      <c r="F72" s="5" t="s">
        <v>552</v>
      </c>
      <c r="G72" s="5" t="s">
        <v>553</v>
      </c>
      <c r="H72" s="5" t="s">
        <v>58</v>
      </c>
      <c r="I72" s="5" t="s">
        <v>554</v>
      </c>
      <c r="J72" s="5" t="s">
        <v>554</v>
      </c>
      <c r="K72" s="5" t="s">
        <v>37</v>
      </c>
      <c r="L72" s="5" t="s">
        <v>555</v>
      </c>
      <c r="M72" s="5" t="s">
        <v>74</v>
      </c>
      <c r="N72" s="5" t="s">
        <v>556</v>
      </c>
      <c r="O72" s="5" t="s">
        <v>557</v>
      </c>
      <c r="P72" s="5" t="s">
        <v>94</v>
      </c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16000</v>
      </c>
      <c r="AB72" s="5">
        <v>5000</v>
      </c>
      <c r="AC72" s="6">
        <v>44064</v>
      </c>
      <c r="AD72" s="5" t="s">
        <v>42</v>
      </c>
      <c r="AE72" s="5" t="s">
        <v>558</v>
      </c>
      <c r="AF72" s="5">
        <v>0</v>
      </c>
    </row>
    <row r="73" spans="1:32" ht="27.95" x14ac:dyDescent="0.3">
      <c r="A73" s="3">
        <v>67</v>
      </c>
      <c r="B73" s="3" t="str">
        <f>"201900206806"</f>
        <v>201900206806</v>
      </c>
      <c r="C73" s="3" t="str">
        <f>"6849"</f>
        <v>6849</v>
      </c>
      <c r="D73" s="3" t="s">
        <v>559</v>
      </c>
      <c r="E73" s="3">
        <v>10181226132</v>
      </c>
      <c r="F73" s="3" t="s">
        <v>560</v>
      </c>
      <c r="G73" s="3" t="s">
        <v>561</v>
      </c>
      <c r="H73" s="3" t="s">
        <v>219</v>
      </c>
      <c r="I73" s="3" t="s">
        <v>220</v>
      </c>
      <c r="J73" s="3" t="s">
        <v>220</v>
      </c>
      <c r="K73" s="3" t="s">
        <v>37</v>
      </c>
      <c r="L73" s="3" t="s">
        <v>562</v>
      </c>
      <c r="M73" s="3" t="s">
        <v>563</v>
      </c>
      <c r="N73" s="3" t="s">
        <v>563</v>
      </c>
      <c r="O73" s="3" t="s">
        <v>54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v>24400</v>
      </c>
      <c r="AB73" s="3">
        <v>4000</v>
      </c>
      <c r="AC73" s="4">
        <v>43816</v>
      </c>
      <c r="AD73" s="3" t="s">
        <v>42</v>
      </c>
      <c r="AE73" s="3" t="s">
        <v>564</v>
      </c>
      <c r="AF73" s="3">
        <v>0</v>
      </c>
    </row>
    <row r="74" spans="1:32" x14ac:dyDescent="0.3">
      <c r="A74" s="5">
        <v>68</v>
      </c>
      <c r="B74" s="5" t="str">
        <f>"201800112618"</f>
        <v>201800112618</v>
      </c>
      <c r="C74" s="5" t="str">
        <f>"107083"</f>
        <v>107083</v>
      </c>
      <c r="D74" s="5" t="s">
        <v>565</v>
      </c>
      <c r="E74" s="5">
        <v>20603348401</v>
      </c>
      <c r="F74" s="5" t="s">
        <v>566</v>
      </c>
      <c r="G74" s="5" t="s">
        <v>567</v>
      </c>
      <c r="H74" s="5" t="s">
        <v>219</v>
      </c>
      <c r="I74" s="5" t="s">
        <v>568</v>
      </c>
      <c r="J74" s="5" t="s">
        <v>569</v>
      </c>
      <c r="K74" s="5" t="s">
        <v>37</v>
      </c>
      <c r="L74" s="5" t="s">
        <v>570</v>
      </c>
      <c r="M74" s="5" t="s">
        <v>571</v>
      </c>
      <c r="N74" s="5" t="s">
        <v>572</v>
      </c>
      <c r="O74" s="5" t="s">
        <v>103</v>
      </c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>
        <v>5400</v>
      </c>
      <c r="AB74" s="5">
        <v>2500</v>
      </c>
      <c r="AC74" s="6">
        <v>43300</v>
      </c>
      <c r="AD74" s="5" t="s">
        <v>42</v>
      </c>
      <c r="AE74" s="5" t="s">
        <v>573</v>
      </c>
      <c r="AF74" s="5">
        <v>0</v>
      </c>
    </row>
    <row r="75" spans="1:32" ht="27.95" x14ac:dyDescent="0.3">
      <c r="A75" s="3">
        <v>69</v>
      </c>
      <c r="B75" s="3" t="str">
        <f>"201300135605"</f>
        <v>201300135605</v>
      </c>
      <c r="C75" s="3" t="str">
        <f>"100345"</f>
        <v>100345</v>
      </c>
      <c r="D75" s="3" t="s">
        <v>574</v>
      </c>
      <c r="E75" s="3">
        <v>20513368527</v>
      </c>
      <c r="F75" s="3" t="s">
        <v>575</v>
      </c>
      <c r="G75" s="3" t="s">
        <v>576</v>
      </c>
      <c r="H75" s="3" t="s">
        <v>108</v>
      </c>
      <c r="I75" s="3" t="s">
        <v>475</v>
      </c>
      <c r="J75" s="3" t="s">
        <v>475</v>
      </c>
      <c r="K75" s="3" t="s">
        <v>37</v>
      </c>
      <c r="L75" s="3" t="s">
        <v>577</v>
      </c>
      <c r="M75" s="3" t="s">
        <v>578</v>
      </c>
      <c r="N75" s="3" t="s">
        <v>154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v>14600</v>
      </c>
      <c r="AB75" s="3">
        <v>6000</v>
      </c>
      <c r="AC75" s="4">
        <v>41508</v>
      </c>
      <c r="AD75" s="3" t="s">
        <v>42</v>
      </c>
      <c r="AE75" s="3" t="s">
        <v>579</v>
      </c>
      <c r="AF75" s="3">
        <v>480</v>
      </c>
    </row>
    <row r="76" spans="1:32" ht="27.95" x14ac:dyDescent="0.3">
      <c r="A76" s="5">
        <v>70</v>
      </c>
      <c r="B76" s="5" t="str">
        <f>"201400073587"</f>
        <v>201400073587</v>
      </c>
      <c r="C76" s="5" t="str">
        <f>"83807"</f>
        <v>83807</v>
      </c>
      <c r="D76" s="5" t="s">
        <v>580</v>
      </c>
      <c r="E76" s="5">
        <v>20480654731</v>
      </c>
      <c r="F76" s="5" t="s">
        <v>581</v>
      </c>
      <c r="G76" s="5" t="s">
        <v>582</v>
      </c>
      <c r="H76" s="5" t="s">
        <v>36</v>
      </c>
      <c r="I76" s="5" t="s">
        <v>36</v>
      </c>
      <c r="J76" s="5" t="s">
        <v>583</v>
      </c>
      <c r="K76" s="5" t="s">
        <v>37</v>
      </c>
      <c r="L76" s="5" t="s">
        <v>584</v>
      </c>
      <c r="M76" s="5" t="s">
        <v>585</v>
      </c>
      <c r="N76" s="5" t="s">
        <v>586</v>
      </c>
      <c r="O76" s="5" t="s">
        <v>78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4480</v>
      </c>
      <c r="AB76" s="5">
        <v>3200</v>
      </c>
      <c r="AC76" s="6">
        <v>41810</v>
      </c>
      <c r="AD76" s="5" t="s">
        <v>42</v>
      </c>
      <c r="AE76" s="5" t="s">
        <v>587</v>
      </c>
      <c r="AF76" s="5">
        <v>0</v>
      </c>
    </row>
    <row r="77" spans="1:32" ht="27.95" x14ac:dyDescent="0.3">
      <c r="A77" s="3">
        <v>71</v>
      </c>
      <c r="B77" s="3" t="str">
        <f>"201800050970"</f>
        <v>201800050970</v>
      </c>
      <c r="C77" s="3" t="str">
        <f>"100276"</f>
        <v>100276</v>
      </c>
      <c r="D77" s="3" t="s">
        <v>588</v>
      </c>
      <c r="E77" s="3">
        <v>20489617979</v>
      </c>
      <c r="F77" s="3" t="s">
        <v>589</v>
      </c>
      <c r="G77" s="3" t="s">
        <v>590</v>
      </c>
      <c r="H77" s="3" t="s">
        <v>125</v>
      </c>
      <c r="I77" s="3" t="s">
        <v>591</v>
      </c>
      <c r="J77" s="3" t="s">
        <v>591</v>
      </c>
      <c r="K77" s="3" t="s">
        <v>37</v>
      </c>
      <c r="L77" s="3" t="s">
        <v>592</v>
      </c>
      <c r="M77" s="3" t="s">
        <v>593</v>
      </c>
      <c r="N77" s="3" t="s">
        <v>78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>
        <v>12000</v>
      </c>
      <c r="AB77" s="3">
        <v>3200</v>
      </c>
      <c r="AC77" s="4">
        <v>43190</v>
      </c>
      <c r="AD77" s="3" t="s">
        <v>42</v>
      </c>
      <c r="AE77" s="3" t="s">
        <v>594</v>
      </c>
      <c r="AF77" s="3">
        <v>720</v>
      </c>
    </row>
    <row r="78" spans="1:32" ht="27.95" x14ac:dyDescent="0.3">
      <c r="A78" s="5">
        <v>72</v>
      </c>
      <c r="B78" s="5" t="str">
        <f>"202000083449"</f>
        <v>202000083449</v>
      </c>
      <c r="C78" s="5" t="str">
        <f>"102051"</f>
        <v>102051</v>
      </c>
      <c r="D78" s="5" t="s">
        <v>595</v>
      </c>
      <c r="E78" s="5">
        <v>20602574823</v>
      </c>
      <c r="F78" s="5" t="s">
        <v>596</v>
      </c>
      <c r="G78" s="5" t="s">
        <v>597</v>
      </c>
      <c r="H78" s="5" t="s">
        <v>108</v>
      </c>
      <c r="I78" s="5" t="s">
        <v>598</v>
      </c>
      <c r="J78" s="5" t="s">
        <v>599</v>
      </c>
      <c r="K78" s="5" t="s">
        <v>37</v>
      </c>
      <c r="L78" s="5" t="s">
        <v>110</v>
      </c>
      <c r="M78" s="5" t="s">
        <v>600</v>
      </c>
      <c r="N78" s="5" t="s">
        <v>94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>
        <v>13000</v>
      </c>
      <c r="AB78" s="5">
        <v>5000</v>
      </c>
      <c r="AC78" s="6">
        <v>44027</v>
      </c>
      <c r="AD78" s="6">
        <v>44392</v>
      </c>
      <c r="AE78" s="5" t="s">
        <v>601</v>
      </c>
      <c r="AF78" s="5">
        <v>0</v>
      </c>
    </row>
    <row r="79" spans="1:32" ht="27.95" x14ac:dyDescent="0.3">
      <c r="A79" s="3">
        <v>73</v>
      </c>
      <c r="B79" s="3" t="str">
        <f>"202000009775"</f>
        <v>202000009775</v>
      </c>
      <c r="C79" s="3" t="str">
        <f>"60874"</f>
        <v>60874</v>
      </c>
      <c r="D79" s="3" t="s">
        <v>602</v>
      </c>
      <c r="E79" s="3">
        <v>10237030856</v>
      </c>
      <c r="F79" s="3" t="s">
        <v>603</v>
      </c>
      <c r="G79" s="3" t="s">
        <v>604</v>
      </c>
      <c r="H79" s="3" t="s">
        <v>450</v>
      </c>
      <c r="I79" s="3" t="s">
        <v>605</v>
      </c>
      <c r="J79" s="3" t="s">
        <v>606</v>
      </c>
      <c r="K79" s="3" t="s">
        <v>37</v>
      </c>
      <c r="L79" s="3" t="s">
        <v>607</v>
      </c>
      <c r="M79" s="3" t="s">
        <v>94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>
        <v>6000</v>
      </c>
      <c r="AB79" s="3">
        <v>5000</v>
      </c>
      <c r="AC79" s="4">
        <v>43850</v>
      </c>
      <c r="AD79" s="3" t="s">
        <v>42</v>
      </c>
      <c r="AE79" s="3" t="s">
        <v>608</v>
      </c>
      <c r="AF79" s="3">
        <v>0</v>
      </c>
    </row>
    <row r="80" spans="1:32" ht="27.95" x14ac:dyDescent="0.3">
      <c r="A80" s="5">
        <v>74</v>
      </c>
      <c r="B80" s="5" t="str">
        <f>"201700061842"</f>
        <v>201700061842</v>
      </c>
      <c r="C80" s="5" t="str">
        <f>"96224"</f>
        <v>96224</v>
      </c>
      <c r="D80" s="5" t="s">
        <v>609</v>
      </c>
      <c r="E80" s="5">
        <v>20601153280</v>
      </c>
      <c r="F80" s="5" t="s">
        <v>610</v>
      </c>
      <c r="G80" s="5" t="s">
        <v>611</v>
      </c>
      <c r="H80" s="5" t="s">
        <v>116</v>
      </c>
      <c r="I80" s="5" t="s">
        <v>339</v>
      </c>
      <c r="J80" s="5" t="s">
        <v>612</v>
      </c>
      <c r="K80" s="5" t="s">
        <v>37</v>
      </c>
      <c r="L80" s="5" t="s">
        <v>613</v>
      </c>
      <c r="M80" s="5" t="s">
        <v>238</v>
      </c>
      <c r="N80" s="5" t="s">
        <v>52</v>
      </c>
      <c r="O80" s="5" t="s">
        <v>54</v>
      </c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>
        <v>14000</v>
      </c>
      <c r="AB80" s="5">
        <v>4000</v>
      </c>
      <c r="AC80" s="6">
        <v>42849</v>
      </c>
      <c r="AD80" s="5" t="s">
        <v>42</v>
      </c>
      <c r="AE80" s="5" t="s">
        <v>614</v>
      </c>
      <c r="AF80" s="5">
        <v>0</v>
      </c>
    </row>
    <row r="81" spans="1:32" x14ac:dyDescent="0.3">
      <c r="A81" s="3">
        <v>75</v>
      </c>
      <c r="B81" s="3" t="str">
        <f>"202000138818"</f>
        <v>202000138818</v>
      </c>
      <c r="C81" s="3" t="str">
        <f>"106094"</f>
        <v>106094</v>
      </c>
      <c r="D81" s="3" t="s">
        <v>615</v>
      </c>
      <c r="E81" s="3">
        <v>20601158095</v>
      </c>
      <c r="F81" s="3" t="s">
        <v>616</v>
      </c>
      <c r="G81" s="3" t="s">
        <v>617</v>
      </c>
      <c r="H81" s="3" t="s">
        <v>108</v>
      </c>
      <c r="I81" s="3" t="s">
        <v>598</v>
      </c>
      <c r="J81" s="3" t="s">
        <v>618</v>
      </c>
      <c r="K81" s="3" t="s">
        <v>37</v>
      </c>
      <c r="L81" s="3" t="s">
        <v>619</v>
      </c>
      <c r="M81" s="3" t="s">
        <v>620</v>
      </c>
      <c r="N81" s="3" t="s">
        <v>621</v>
      </c>
      <c r="O81" s="3" t="s">
        <v>94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>
        <v>13258</v>
      </c>
      <c r="AB81" s="3">
        <v>5000</v>
      </c>
      <c r="AC81" s="4">
        <v>44116</v>
      </c>
      <c r="AD81" s="3" t="s">
        <v>42</v>
      </c>
      <c r="AE81" s="3" t="s">
        <v>622</v>
      </c>
      <c r="AF81" s="3">
        <v>0</v>
      </c>
    </row>
    <row r="82" spans="1:32" ht="27.95" x14ac:dyDescent="0.3">
      <c r="A82" s="5">
        <v>76</v>
      </c>
      <c r="B82" s="5" t="str">
        <f>"201700023759"</f>
        <v>201700023759</v>
      </c>
      <c r="C82" s="5" t="str">
        <f>"8347"</f>
        <v>8347</v>
      </c>
      <c r="D82" s="5" t="s">
        <v>623</v>
      </c>
      <c r="E82" s="5">
        <v>20452262399</v>
      </c>
      <c r="F82" s="5" t="s">
        <v>624</v>
      </c>
      <c r="G82" s="5" t="s">
        <v>625</v>
      </c>
      <c r="H82" s="5" t="s">
        <v>47</v>
      </c>
      <c r="I82" s="5" t="s">
        <v>290</v>
      </c>
      <c r="J82" s="5" t="s">
        <v>626</v>
      </c>
      <c r="K82" s="5" t="s">
        <v>37</v>
      </c>
      <c r="L82" s="5" t="s">
        <v>627</v>
      </c>
      <c r="M82" s="5" t="s">
        <v>72</v>
      </c>
      <c r="N82" s="5" t="s">
        <v>628</v>
      </c>
      <c r="O82" s="5" t="s">
        <v>94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>
        <v>24000</v>
      </c>
      <c r="AB82" s="5">
        <v>5000</v>
      </c>
      <c r="AC82" s="6">
        <v>42803</v>
      </c>
      <c r="AD82" s="5" t="s">
        <v>42</v>
      </c>
      <c r="AE82" s="5" t="s">
        <v>629</v>
      </c>
      <c r="AF82" s="5">
        <v>0</v>
      </c>
    </row>
    <row r="83" spans="1:32" ht="41.95" x14ac:dyDescent="0.3">
      <c r="A83" s="3">
        <v>77</v>
      </c>
      <c r="B83" s="3" t="str">
        <f>"201800032457"</f>
        <v>201800032457</v>
      </c>
      <c r="C83" s="3" t="str">
        <f>"134720"</f>
        <v>134720</v>
      </c>
      <c r="D83" s="3" t="s">
        <v>630</v>
      </c>
      <c r="E83" s="3">
        <v>20601317011</v>
      </c>
      <c r="F83" s="3" t="s">
        <v>631</v>
      </c>
      <c r="G83" s="3" t="s">
        <v>632</v>
      </c>
      <c r="H83" s="3" t="s">
        <v>134</v>
      </c>
      <c r="I83" s="3" t="s">
        <v>134</v>
      </c>
      <c r="J83" s="3" t="s">
        <v>134</v>
      </c>
      <c r="K83" s="3" t="s">
        <v>37</v>
      </c>
      <c r="L83" s="3" t="s">
        <v>63</v>
      </c>
      <c r="M83" s="3" t="s">
        <v>633</v>
      </c>
      <c r="N83" s="3" t="s">
        <v>297</v>
      </c>
      <c r="O83" s="3" t="s">
        <v>94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>
        <v>16000</v>
      </c>
      <c r="AB83" s="3">
        <v>5000</v>
      </c>
      <c r="AC83" s="4">
        <v>43158</v>
      </c>
      <c r="AD83" s="3" t="s">
        <v>42</v>
      </c>
      <c r="AE83" s="3" t="s">
        <v>634</v>
      </c>
      <c r="AF83" s="3">
        <v>0</v>
      </c>
    </row>
    <row r="84" spans="1:32" ht="27.95" x14ac:dyDescent="0.3">
      <c r="A84" s="5">
        <v>78</v>
      </c>
      <c r="B84" s="5" t="str">
        <f>"201800041062"</f>
        <v>201800041062</v>
      </c>
      <c r="C84" s="5" t="str">
        <f>"120551"</f>
        <v>120551</v>
      </c>
      <c r="D84" s="5" t="s">
        <v>635</v>
      </c>
      <c r="E84" s="5">
        <v>20600781414</v>
      </c>
      <c r="F84" s="5" t="s">
        <v>636</v>
      </c>
      <c r="G84" s="5" t="s">
        <v>637</v>
      </c>
      <c r="H84" s="5" t="s">
        <v>638</v>
      </c>
      <c r="I84" s="5" t="s">
        <v>639</v>
      </c>
      <c r="J84" s="5" t="s">
        <v>640</v>
      </c>
      <c r="K84" s="5" t="s">
        <v>37</v>
      </c>
      <c r="L84" s="5" t="s">
        <v>593</v>
      </c>
      <c r="M84" s="5" t="s">
        <v>641</v>
      </c>
      <c r="N84" s="5" t="s">
        <v>642</v>
      </c>
      <c r="O84" s="5" t="s">
        <v>593</v>
      </c>
      <c r="P84" s="5" t="s">
        <v>154</v>
      </c>
      <c r="Q84" s="5"/>
      <c r="R84" s="5"/>
      <c r="S84" s="5"/>
      <c r="T84" s="5"/>
      <c r="U84" s="5"/>
      <c r="V84" s="5"/>
      <c r="W84" s="5"/>
      <c r="X84" s="5"/>
      <c r="Y84" s="5"/>
      <c r="Z84" s="5"/>
      <c r="AA84" s="5">
        <v>24000</v>
      </c>
      <c r="AB84" s="5">
        <v>6000</v>
      </c>
      <c r="AC84" s="6">
        <v>43173</v>
      </c>
      <c r="AD84" s="5" t="s">
        <v>42</v>
      </c>
      <c r="AE84" s="5" t="s">
        <v>643</v>
      </c>
      <c r="AF84" s="5">
        <v>0</v>
      </c>
    </row>
    <row r="85" spans="1:32" ht="27.95" x14ac:dyDescent="0.3">
      <c r="A85" s="3">
        <v>79</v>
      </c>
      <c r="B85" s="3" t="str">
        <f>"201300093261"</f>
        <v>201300093261</v>
      </c>
      <c r="C85" s="3" t="str">
        <f>"41198"</f>
        <v>41198</v>
      </c>
      <c r="D85" s="3" t="s">
        <v>644</v>
      </c>
      <c r="E85" s="3">
        <v>20486314525</v>
      </c>
      <c r="F85" s="3" t="s">
        <v>645</v>
      </c>
      <c r="G85" s="3" t="s">
        <v>646</v>
      </c>
      <c r="H85" s="3" t="s">
        <v>108</v>
      </c>
      <c r="I85" s="3" t="s">
        <v>647</v>
      </c>
      <c r="J85" s="3" t="s">
        <v>647</v>
      </c>
      <c r="K85" s="3" t="s">
        <v>37</v>
      </c>
      <c r="L85" s="3" t="s">
        <v>648</v>
      </c>
      <c r="M85" s="3" t="s">
        <v>649</v>
      </c>
      <c r="N85" s="3" t="s">
        <v>650</v>
      </c>
      <c r="O85" s="3" t="s">
        <v>651</v>
      </c>
      <c r="P85" s="3" t="s">
        <v>94</v>
      </c>
      <c r="Q85" s="3"/>
      <c r="R85" s="3"/>
      <c r="S85" s="3"/>
      <c r="T85" s="3"/>
      <c r="U85" s="3"/>
      <c r="V85" s="3"/>
      <c r="W85" s="3"/>
      <c r="X85" s="3"/>
      <c r="Y85" s="3"/>
      <c r="Z85" s="3"/>
      <c r="AA85" s="3">
        <v>36000</v>
      </c>
      <c r="AB85" s="3">
        <v>5000</v>
      </c>
      <c r="AC85" s="4">
        <v>41427</v>
      </c>
      <c r="AD85" s="3" t="s">
        <v>42</v>
      </c>
      <c r="AE85" s="3" t="s">
        <v>652</v>
      </c>
      <c r="AF85" s="3">
        <v>0</v>
      </c>
    </row>
    <row r="86" spans="1:32" ht="27.95" x14ac:dyDescent="0.3">
      <c r="A86" s="5">
        <v>80</v>
      </c>
      <c r="B86" s="5" t="str">
        <f>"201900089802"</f>
        <v>201900089802</v>
      </c>
      <c r="C86" s="5" t="str">
        <f>"18304"</f>
        <v>18304</v>
      </c>
      <c r="D86" s="5" t="s">
        <v>653</v>
      </c>
      <c r="E86" s="5">
        <v>20604649863</v>
      </c>
      <c r="F86" s="5" t="s">
        <v>654</v>
      </c>
      <c r="G86" s="5" t="s">
        <v>655</v>
      </c>
      <c r="H86" s="5" t="s">
        <v>656</v>
      </c>
      <c r="I86" s="5" t="s">
        <v>656</v>
      </c>
      <c r="J86" s="5" t="s">
        <v>657</v>
      </c>
      <c r="K86" s="5" t="s">
        <v>37</v>
      </c>
      <c r="L86" s="5" t="s">
        <v>63</v>
      </c>
      <c r="M86" s="5" t="s">
        <v>658</v>
      </c>
      <c r="N86" s="5" t="s">
        <v>78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12000</v>
      </c>
      <c r="AB86" s="5">
        <v>3200</v>
      </c>
      <c r="AC86" s="6">
        <v>43621</v>
      </c>
      <c r="AD86" s="5" t="s">
        <v>42</v>
      </c>
      <c r="AE86" s="5" t="s">
        <v>659</v>
      </c>
      <c r="AF86" s="5">
        <v>480</v>
      </c>
    </row>
    <row r="87" spans="1:32" ht="41.95" x14ac:dyDescent="0.3">
      <c r="A87" s="3">
        <v>81</v>
      </c>
      <c r="B87" s="3" t="str">
        <f>"201600143788"</f>
        <v>201600143788</v>
      </c>
      <c r="C87" s="3" t="str">
        <f>"38716"</f>
        <v>38716</v>
      </c>
      <c r="D87" s="3" t="s">
        <v>660</v>
      </c>
      <c r="E87" s="3">
        <v>20511067333</v>
      </c>
      <c r="F87" s="3" t="s">
        <v>661</v>
      </c>
      <c r="G87" s="3" t="s">
        <v>662</v>
      </c>
      <c r="H87" s="3" t="s">
        <v>58</v>
      </c>
      <c r="I87" s="3" t="s">
        <v>58</v>
      </c>
      <c r="J87" s="3" t="s">
        <v>663</v>
      </c>
      <c r="K87" s="3" t="s">
        <v>37</v>
      </c>
      <c r="L87" s="3" t="s">
        <v>63</v>
      </c>
      <c r="M87" s="3" t="s">
        <v>62</v>
      </c>
      <c r="N87" s="3" t="s">
        <v>664</v>
      </c>
      <c r="O87" s="3" t="s">
        <v>161</v>
      </c>
      <c r="P87" s="3" t="s">
        <v>555</v>
      </c>
      <c r="Q87" s="3" t="s">
        <v>248</v>
      </c>
      <c r="R87" s="3"/>
      <c r="S87" s="3"/>
      <c r="T87" s="3"/>
      <c r="U87" s="3"/>
      <c r="V87" s="3"/>
      <c r="W87" s="3"/>
      <c r="X87" s="3"/>
      <c r="Y87" s="3"/>
      <c r="Z87" s="3"/>
      <c r="AA87" s="3">
        <v>22000</v>
      </c>
      <c r="AB87" s="3">
        <v>3000</v>
      </c>
      <c r="AC87" s="4">
        <v>42662</v>
      </c>
      <c r="AD87" s="3" t="s">
        <v>42</v>
      </c>
      <c r="AE87" s="3" t="s">
        <v>665</v>
      </c>
      <c r="AF87" s="3">
        <v>0</v>
      </c>
    </row>
    <row r="88" spans="1:32" ht="27.95" x14ac:dyDescent="0.3">
      <c r="A88" s="5">
        <v>82</v>
      </c>
      <c r="B88" s="5" t="str">
        <f>"201800198812"</f>
        <v>201800198812</v>
      </c>
      <c r="C88" s="5" t="str">
        <f>"8191"</f>
        <v>8191</v>
      </c>
      <c r="D88" s="5" t="s">
        <v>666</v>
      </c>
      <c r="E88" s="5">
        <v>20119207640</v>
      </c>
      <c r="F88" s="5" t="s">
        <v>483</v>
      </c>
      <c r="G88" s="5" t="s">
        <v>667</v>
      </c>
      <c r="H88" s="5" t="s">
        <v>89</v>
      </c>
      <c r="I88" s="5" t="s">
        <v>89</v>
      </c>
      <c r="J88" s="5" t="s">
        <v>668</v>
      </c>
      <c r="K88" s="5" t="s">
        <v>37</v>
      </c>
      <c r="L88" s="5" t="s">
        <v>669</v>
      </c>
      <c r="M88" s="5" t="s">
        <v>275</v>
      </c>
      <c r="N88" s="5" t="s">
        <v>670</v>
      </c>
      <c r="O88" s="5" t="s">
        <v>313</v>
      </c>
      <c r="P88" s="5" t="s">
        <v>54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>
        <v>16900</v>
      </c>
      <c r="AB88" s="5">
        <v>4000</v>
      </c>
      <c r="AC88" s="6">
        <v>43438</v>
      </c>
      <c r="AD88" s="5" t="s">
        <v>42</v>
      </c>
      <c r="AE88" s="5" t="s">
        <v>489</v>
      </c>
      <c r="AF88" s="5">
        <v>0</v>
      </c>
    </row>
    <row r="89" spans="1:32" x14ac:dyDescent="0.3">
      <c r="A89" s="3">
        <v>83</v>
      </c>
      <c r="B89" s="3" t="str">
        <f>"201700009336"</f>
        <v>201700009336</v>
      </c>
      <c r="C89" s="3" t="str">
        <f>"9097"</f>
        <v>9097</v>
      </c>
      <c r="D89" s="3" t="s">
        <v>671</v>
      </c>
      <c r="E89" s="3">
        <v>20529053038</v>
      </c>
      <c r="F89" s="3" t="s">
        <v>672</v>
      </c>
      <c r="G89" s="3" t="s">
        <v>673</v>
      </c>
      <c r="H89" s="3" t="s">
        <v>125</v>
      </c>
      <c r="I89" s="3" t="s">
        <v>125</v>
      </c>
      <c r="J89" s="3" t="s">
        <v>126</v>
      </c>
      <c r="K89" s="3" t="s">
        <v>37</v>
      </c>
      <c r="L89" s="3" t="s">
        <v>65</v>
      </c>
      <c r="M89" s="3" t="s">
        <v>174</v>
      </c>
      <c r="N89" s="3" t="s">
        <v>173</v>
      </c>
      <c r="O89" s="3" t="s">
        <v>173</v>
      </c>
      <c r="P89" s="3" t="s">
        <v>78</v>
      </c>
      <c r="Q89" s="3"/>
      <c r="R89" s="3"/>
      <c r="S89" s="3"/>
      <c r="T89" s="3"/>
      <c r="U89" s="3"/>
      <c r="V89" s="3"/>
      <c r="W89" s="3"/>
      <c r="X89" s="3"/>
      <c r="Y89" s="3"/>
      <c r="Z89" s="3"/>
      <c r="AA89" s="3">
        <v>16000</v>
      </c>
      <c r="AB89" s="3">
        <v>3200</v>
      </c>
      <c r="AC89" s="4">
        <v>42755</v>
      </c>
      <c r="AD89" s="3" t="s">
        <v>42</v>
      </c>
      <c r="AE89" s="3" t="s">
        <v>674</v>
      </c>
      <c r="AF89" s="3">
        <v>0</v>
      </c>
    </row>
    <row r="90" spans="1:32" ht="27.95" x14ac:dyDescent="0.3">
      <c r="A90" s="5">
        <v>84</v>
      </c>
      <c r="B90" s="5" t="str">
        <f>"201800152356"</f>
        <v>201800152356</v>
      </c>
      <c r="C90" s="5" t="str">
        <f>"138448"</f>
        <v>138448</v>
      </c>
      <c r="D90" s="5" t="s">
        <v>675</v>
      </c>
      <c r="E90" s="5">
        <v>10200257630</v>
      </c>
      <c r="F90" s="5" t="s">
        <v>676</v>
      </c>
      <c r="G90" s="5" t="s">
        <v>677</v>
      </c>
      <c r="H90" s="5" t="s">
        <v>108</v>
      </c>
      <c r="I90" s="5" t="s">
        <v>144</v>
      </c>
      <c r="J90" s="5" t="s">
        <v>145</v>
      </c>
      <c r="K90" s="5" t="s">
        <v>37</v>
      </c>
      <c r="L90" s="5" t="s">
        <v>678</v>
      </c>
      <c r="M90" s="5" t="s">
        <v>172</v>
      </c>
      <c r="N90" s="5" t="s">
        <v>54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>
        <v>8000</v>
      </c>
      <c r="AB90" s="5">
        <v>4000</v>
      </c>
      <c r="AC90" s="6">
        <v>43356</v>
      </c>
      <c r="AD90" s="5" t="s">
        <v>42</v>
      </c>
      <c r="AE90" s="5" t="s">
        <v>676</v>
      </c>
      <c r="AF90" s="5">
        <v>720</v>
      </c>
    </row>
    <row r="91" spans="1:32" x14ac:dyDescent="0.3">
      <c r="A91" s="3">
        <v>85</v>
      </c>
      <c r="B91" s="3" t="str">
        <f>"201800087151"</f>
        <v>201800087151</v>
      </c>
      <c r="C91" s="3" t="str">
        <f>"135583"</f>
        <v>135583</v>
      </c>
      <c r="D91" s="3" t="s">
        <v>679</v>
      </c>
      <c r="E91" s="3">
        <v>20458378747</v>
      </c>
      <c r="F91" s="3" t="s">
        <v>680</v>
      </c>
      <c r="G91" s="3" t="s">
        <v>681</v>
      </c>
      <c r="H91" s="3" t="s">
        <v>36</v>
      </c>
      <c r="I91" s="3" t="s">
        <v>409</v>
      </c>
      <c r="J91" s="3" t="s">
        <v>409</v>
      </c>
      <c r="K91" s="3" t="s">
        <v>37</v>
      </c>
      <c r="L91" s="3" t="s">
        <v>110</v>
      </c>
      <c r="M91" s="3" t="s">
        <v>682</v>
      </c>
      <c r="N91" s="3" t="s">
        <v>669</v>
      </c>
      <c r="O91" s="3" t="s">
        <v>683</v>
      </c>
      <c r="P91" s="3" t="s">
        <v>684</v>
      </c>
      <c r="Q91" s="3" t="s">
        <v>78</v>
      </c>
      <c r="R91" s="3"/>
      <c r="S91" s="3"/>
      <c r="T91" s="3"/>
      <c r="U91" s="3"/>
      <c r="V91" s="3"/>
      <c r="W91" s="3"/>
      <c r="X91" s="3"/>
      <c r="Y91" s="3"/>
      <c r="Z91" s="3"/>
      <c r="AA91" s="3">
        <v>32500</v>
      </c>
      <c r="AB91" s="3">
        <v>3200</v>
      </c>
      <c r="AC91" s="4">
        <v>43248</v>
      </c>
      <c r="AD91" s="3" t="s">
        <v>42</v>
      </c>
      <c r="AE91" s="3" t="s">
        <v>685</v>
      </c>
      <c r="AF91" s="3">
        <v>0</v>
      </c>
    </row>
    <row r="92" spans="1:32" ht="27.95" x14ac:dyDescent="0.3">
      <c r="A92" s="5">
        <v>86</v>
      </c>
      <c r="B92" s="5" t="str">
        <f>"201800204876"</f>
        <v>201800204876</v>
      </c>
      <c r="C92" s="5" t="str">
        <f>"18611"</f>
        <v>18611</v>
      </c>
      <c r="D92" s="5" t="s">
        <v>686</v>
      </c>
      <c r="E92" s="5">
        <v>20270382551</v>
      </c>
      <c r="F92" s="5" t="s">
        <v>407</v>
      </c>
      <c r="G92" s="5" t="s">
        <v>687</v>
      </c>
      <c r="H92" s="5" t="s">
        <v>36</v>
      </c>
      <c r="I92" s="5" t="s">
        <v>409</v>
      </c>
      <c r="J92" s="5" t="s">
        <v>409</v>
      </c>
      <c r="K92" s="5" t="s">
        <v>37</v>
      </c>
      <c r="L92" s="5" t="s">
        <v>102</v>
      </c>
      <c r="M92" s="5" t="s">
        <v>50</v>
      </c>
      <c r="N92" s="5" t="s">
        <v>396</v>
      </c>
      <c r="O92" s="5" t="s">
        <v>51</v>
      </c>
      <c r="P92" s="5" t="s">
        <v>102</v>
      </c>
      <c r="Q92" s="5" t="s">
        <v>248</v>
      </c>
      <c r="R92" s="5"/>
      <c r="S92" s="5"/>
      <c r="T92" s="5"/>
      <c r="U92" s="5"/>
      <c r="V92" s="5"/>
      <c r="W92" s="5"/>
      <c r="X92" s="5"/>
      <c r="Y92" s="5"/>
      <c r="Z92" s="5"/>
      <c r="AA92" s="5">
        <v>25000</v>
      </c>
      <c r="AB92" s="5">
        <v>3000</v>
      </c>
      <c r="AC92" s="6">
        <v>43447</v>
      </c>
      <c r="AD92" s="5" t="s">
        <v>42</v>
      </c>
      <c r="AE92" s="5" t="s">
        <v>688</v>
      </c>
      <c r="AF92" s="5">
        <v>0</v>
      </c>
    </row>
    <row r="93" spans="1:32" x14ac:dyDescent="0.3">
      <c r="A93" s="3">
        <v>87</v>
      </c>
      <c r="B93" s="3" t="str">
        <f>"202000000985"</f>
        <v>202000000985</v>
      </c>
      <c r="C93" s="3" t="str">
        <f>"18590"</f>
        <v>18590</v>
      </c>
      <c r="D93" s="3" t="s">
        <v>689</v>
      </c>
      <c r="E93" s="3">
        <v>20542595061</v>
      </c>
      <c r="F93" s="3" t="s">
        <v>123</v>
      </c>
      <c r="G93" s="3" t="s">
        <v>690</v>
      </c>
      <c r="H93" s="3" t="s">
        <v>125</v>
      </c>
      <c r="I93" s="3" t="s">
        <v>125</v>
      </c>
      <c r="J93" s="3" t="s">
        <v>125</v>
      </c>
      <c r="K93" s="3" t="s">
        <v>37</v>
      </c>
      <c r="L93" s="3" t="s">
        <v>691</v>
      </c>
      <c r="M93" s="3" t="s">
        <v>692</v>
      </c>
      <c r="N93" s="3" t="s">
        <v>359</v>
      </c>
      <c r="O93" s="3" t="s">
        <v>693</v>
      </c>
      <c r="P93" s="3" t="s">
        <v>94</v>
      </c>
      <c r="Q93" s="3"/>
      <c r="R93" s="3"/>
      <c r="S93" s="3"/>
      <c r="T93" s="3"/>
      <c r="U93" s="3"/>
      <c r="V93" s="3"/>
      <c r="W93" s="3"/>
      <c r="X93" s="3"/>
      <c r="Y93" s="3"/>
      <c r="Z93" s="3"/>
      <c r="AA93" s="3">
        <v>15900</v>
      </c>
      <c r="AB93" s="3">
        <v>5000</v>
      </c>
      <c r="AC93" s="4">
        <v>43839</v>
      </c>
      <c r="AD93" s="3" t="s">
        <v>42</v>
      </c>
      <c r="AE93" s="3" t="s">
        <v>130</v>
      </c>
      <c r="AF93" s="3">
        <v>240</v>
      </c>
    </row>
    <row r="94" spans="1:32" ht="27.95" x14ac:dyDescent="0.3">
      <c r="A94" s="5">
        <v>88</v>
      </c>
      <c r="B94" s="5" t="str">
        <f>"201900210652"</f>
        <v>201900210652</v>
      </c>
      <c r="C94" s="5" t="str">
        <f>"7497"</f>
        <v>7497</v>
      </c>
      <c r="D94" s="5" t="s">
        <v>694</v>
      </c>
      <c r="E94" s="5">
        <v>20275873480</v>
      </c>
      <c r="F94" s="5" t="s">
        <v>695</v>
      </c>
      <c r="G94" s="5" t="s">
        <v>696</v>
      </c>
      <c r="H94" s="5" t="s">
        <v>219</v>
      </c>
      <c r="I94" s="5" t="s">
        <v>220</v>
      </c>
      <c r="J94" s="5" t="s">
        <v>220</v>
      </c>
      <c r="K94" s="5" t="s">
        <v>37</v>
      </c>
      <c r="L94" s="5" t="s">
        <v>697</v>
      </c>
      <c r="M94" s="5" t="s">
        <v>172</v>
      </c>
      <c r="N94" s="5" t="s">
        <v>174</v>
      </c>
      <c r="O94" s="5" t="s">
        <v>459</v>
      </c>
      <c r="P94" s="5" t="s">
        <v>698</v>
      </c>
      <c r="Q94" s="5" t="s">
        <v>94</v>
      </c>
      <c r="R94" s="5"/>
      <c r="S94" s="5"/>
      <c r="T94" s="5"/>
      <c r="U94" s="5"/>
      <c r="V94" s="5"/>
      <c r="W94" s="5"/>
      <c r="X94" s="5"/>
      <c r="Y94" s="5"/>
      <c r="Z94" s="5"/>
      <c r="AA94" s="5">
        <v>18182</v>
      </c>
      <c r="AB94" s="5">
        <v>5000</v>
      </c>
      <c r="AC94" s="6">
        <v>43821</v>
      </c>
      <c r="AD94" s="5" t="s">
        <v>42</v>
      </c>
      <c r="AE94" s="5" t="s">
        <v>699</v>
      </c>
      <c r="AF94" s="5">
        <v>720</v>
      </c>
    </row>
    <row r="95" spans="1:32" ht="27.95" x14ac:dyDescent="0.3">
      <c r="A95" s="3">
        <v>89</v>
      </c>
      <c r="B95" s="3" t="str">
        <f>"201800051885"</f>
        <v>201800051885</v>
      </c>
      <c r="C95" s="3" t="str">
        <f>"21040"</f>
        <v>21040</v>
      </c>
      <c r="D95" s="3" t="s">
        <v>700</v>
      </c>
      <c r="E95" s="3">
        <v>20354793416</v>
      </c>
      <c r="F95" s="3" t="s">
        <v>701</v>
      </c>
      <c r="G95" s="3" t="s">
        <v>702</v>
      </c>
      <c r="H95" s="3" t="s">
        <v>219</v>
      </c>
      <c r="I95" s="3" t="s">
        <v>220</v>
      </c>
      <c r="J95" s="3" t="s">
        <v>220</v>
      </c>
      <c r="K95" s="3" t="s">
        <v>37</v>
      </c>
      <c r="L95" s="3" t="s">
        <v>61</v>
      </c>
      <c r="M95" s="3" t="s">
        <v>703</v>
      </c>
      <c r="N95" s="3" t="s">
        <v>704</v>
      </c>
      <c r="O95" s="3" t="s">
        <v>72</v>
      </c>
      <c r="P95" s="3" t="s">
        <v>78</v>
      </c>
      <c r="Q95" s="3"/>
      <c r="R95" s="3"/>
      <c r="S95" s="3"/>
      <c r="T95" s="3"/>
      <c r="U95" s="3"/>
      <c r="V95" s="3"/>
      <c r="W95" s="3"/>
      <c r="X95" s="3"/>
      <c r="Y95" s="3"/>
      <c r="Z95" s="3"/>
      <c r="AA95" s="3">
        <v>32000</v>
      </c>
      <c r="AB95" s="3">
        <v>3200</v>
      </c>
      <c r="AC95" s="4">
        <v>43193</v>
      </c>
      <c r="AD95" s="3" t="s">
        <v>42</v>
      </c>
      <c r="AE95" s="3" t="s">
        <v>705</v>
      </c>
      <c r="AF95" s="3">
        <v>0</v>
      </c>
    </row>
    <row r="96" spans="1:32" ht="27.95" x14ac:dyDescent="0.3">
      <c r="A96" s="5">
        <v>90</v>
      </c>
      <c r="B96" s="5" t="str">
        <f>"201500058303"</f>
        <v>201500058303</v>
      </c>
      <c r="C96" s="5" t="str">
        <f>"19981"</f>
        <v>19981</v>
      </c>
      <c r="D96" s="5" t="s">
        <v>706</v>
      </c>
      <c r="E96" s="5">
        <v>20512308253</v>
      </c>
      <c r="F96" s="5" t="s">
        <v>707</v>
      </c>
      <c r="G96" s="5" t="s">
        <v>708</v>
      </c>
      <c r="H96" s="5" t="s">
        <v>58</v>
      </c>
      <c r="I96" s="5" t="s">
        <v>58</v>
      </c>
      <c r="J96" s="5" t="s">
        <v>545</v>
      </c>
      <c r="K96" s="5" t="s">
        <v>37</v>
      </c>
      <c r="L96" s="5" t="s">
        <v>172</v>
      </c>
      <c r="M96" s="5" t="s">
        <v>63</v>
      </c>
      <c r="N96" s="5" t="s">
        <v>709</v>
      </c>
      <c r="O96" s="5" t="s">
        <v>171</v>
      </c>
      <c r="P96" s="5" t="s">
        <v>66</v>
      </c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22000</v>
      </c>
      <c r="AB96" s="5">
        <v>4500</v>
      </c>
      <c r="AC96" s="6">
        <v>42138</v>
      </c>
      <c r="AD96" s="5" t="s">
        <v>42</v>
      </c>
      <c r="AE96" s="5" t="s">
        <v>710</v>
      </c>
      <c r="AF96" s="5">
        <v>480</v>
      </c>
    </row>
    <row r="97" spans="1:32" x14ac:dyDescent="0.3">
      <c r="A97" s="3">
        <v>91</v>
      </c>
      <c r="B97" s="3" t="str">
        <f>"201800148007"</f>
        <v>201800148007</v>
      </c>
      <c r="C97" s="3" t="str">
        <f>"9197"</f>
        <v>9197</v>
      </c>
      <c r="D97" s="3" t="s">
        <v>711</v>
      </c>
      <c r="E97" s="3">
        <v>20487079635</v>
      </c>
      <c r="F97" s="3" t="s">
        <v>712</v>
      </c>
      <c r="G97" s="3" t="s">
        <v>713</v>
      </c>
      <c r="H97" s="3" t="s">
        <v>532</v>
      </c>
      <c r="I97" s="3" t="s">
        <v>714</v>
      </c>
      <c r="J97" s="3" t="s">
        <v>714</v>
      </c>
      <c r="K97" s="3" t="s">
        <v>37</v>
      </c>
      <c r="L97" s="3" t="s">
        <v>459</v>
      </c>
      <c r="M97" s="3" t="s">
        <v>296</v>
      </c>
      <c r="N97" s="3" t="s">
        <v>74</v>
      </c>
      <c r="O97" s="3" t="s">
        <v>555</v>
      </c>
      <c r="P97" s="3" t="s">
        <v>459</v>
      </c>
      <c r="Q97" s="3" t="s">
        <v>74</v>
      </c>
      <c r="R97" s="3" t="s">
        <v>94</v>
      </c>
      <c r="S97" s="3"/>
      <c r="T97" s="3"/>
      <c r="U97" s="3"/>
      <c r="V97" s="3"/>
      <c r="W97" s="3"/>
      <c r="X97" s="3"/>
      <c r="Y97" s="3"/>
      <c r="Z97" s="3"/>
      <c r="AA97" s="3">
        <v>17000</v>
      </c>
      <c r="AB97" s="3">
        <v>5000</v>
      </c>
      <c r="AC97" s="4">
        <v>43355</v>
      </c>
      <c r="AD97" s="3" t="s">
        <v>42</v>
      </c>
      <c r="AE97" s="3" t="s">
        <v>715</v>
      </c>
      <c r="AF97" s="3">
        <v>240</v>
      </c>
    </row>
    <row r="98" spans="1:32" x14ac:dyDescent="0.3">
      <c r="A98" s="5">
        <v>92</v>
      </c>
      <c r="B98" s="5" t="str">
        <f>"201800195477"</f>
        <v>201800195477</v>
      </c>
      <c r="C98" s="5" t="str">
        <f>"37900"</f>
        <v>37900</v>
      </c>
      <c r="D98" s="5" t="s">
        <v>716</v>
      </c>
      <c r="E98" s="5">
        <v>20519789192</v>
      </c>
      <c r="F98" s="5" t="s">
        <v>717</v>
      </c>
      <c r="G98" s="5" t="s">
        <v>718</v>
      </c>
      <c r="H98" s="5" t="s">
        <v>656</v>
      </c>
      <c r="I98" s="5" t="s">
        <v>656</v>
      </c>
      <c r="J98" s="5" t="s">
        <v>657</v>
      </c>
      <c r="K98" s="5" t="s">
        <v>37</v>
      </c>
      <c r="L98" s="5" t="s">
        <v>670</v>
      </c>
      <c r="M98" s="5" t="s">
        <v>683</v>
      </c>
      <c r="N98" s="5" t="s">
        <v>669</v>
      </c>
      <c r="O98" s="5" t="s">
        <v>719</v>
      </c>
      <c r="P98" s="5" t="s">
        <v>94</v>
      </c>
      <c r="Q98" s="5"/>
      <c r="R98" s="5"/>
      <c r="S98" s="5"/>
      <c r="T98" s="5"/>
      <c r="U98" s="5"/>
      <c r="V98" s="5"/>
      <c r="W98" s="5"/>
      <c r="X98" s="5"/>
      <c r="Y98" s="5"/>
      <c r="Z98" s="5"/>
      <c r="AA98" s="5">
        <v>24100</v>
      </c>
      <c r="AB98" s="5">
        <v>5000</v>
      </c>
      <c r="AC98" s="6">
        <v>43430</v>
      </c>
      <c r="AD98" s="5" t="s">
        <v>42</v>
      </c>
      <c r="AE98" s="5" t="s">
        <v>720</v>
      </c>
      <c r="AF98" s="5">
        <v>240</v>
      </c>
    </row>
    <row r="99" spans="1:32" ht="27.95" x14ac:dyDescent="0.3">
      <c r="A99" s="3">
        <v>93</v>
      </c>
      <c r="B99" s="3" t="str">
        <f>"201900077361"</f>
        <v>201900077361</v>
      </c>
      <c r="C99" s="3" t="str">
        <f>"14645"</f>
        <v>14645</v>
      </c>
      <c r="D99" s="3" t="s">
        <v>721</v>
      </c>
      <c r="E99" s="3">
        <v>20511995028</v>
      </c>
      <c r="F99" s="3" t="s">
        <v>722</v>
      </c>
      <c r="G99" s="3" t="s">
        <v>723</v>
      </c>
      <c r="H99" s="3" t="s">
        <v>58</v>
      </c>
      <c r="I99" s="3" t="s">
        <v>58</v>
      </c>
      <c r="J99" s="3" t="s">
        <v>253</v>
      </c>
      <c r="K99" s="3" t="s">
        <v>37</v>
      </c>
      <c r="L99" s="3" t="s">
        <v>724</v>
      </c>
      <c r="M99" s="3" t="s">
        <v>725</v>
      </c>
      <c r="N99" s="3" t="s">
        <v>103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>
        <v>20000</v>
      </c>
      <c r="AB99" s="3">
        <v>2500</v>
      </c>
      <c r="AC99" s="4">
        <v>43605</v>
      </c>
      <c r="AD99" s="3" t="s">
        <v>42</v>
      </c>
      <c r="AE99" s="3" t="s">
        <v>726</v>
      </c>
      <c r="AF99" s="3">
        <v>240</v>
      </c>
    </row>
    <row r="100" spans="1:32" x14ac:dyDescent="0.3">
      <c r="A100" s="5">
        <v>94</v>
      </c>
      <c r="B100" s="5" t="str">
        <f>"201900014640"</f>
        <v>201900014640</v>
      </c>
      <c r="C100" s="5" t="str">
        <f>"7221"</f>
        <v>7221</v>
      </c>
      <c r="D100" s="5" t="s">
        <v>727</v>
      </c>
      <c r="E100" s="5">
        <v>20603652691</v>
      </c>
      <c r="F100" s="5" t="s">
        <v>728</v>
      </c>
      <c r="G100" s="5" t="s">
        <v>729</v>
      </c>
      <c r="H100" s="5" t="s">
        <v>89</v>
      </c>
      <c r="I100" s="5" t="s">
        <v>730</v>
      </c>
      <c r="J100" s="5" t="s">
        <v>731</v>
      </c>
      <c r="K100" s="5" t="s">
        <v>37</v>
      </c>
      <c r="L100" s="5" t="s">
        <v>732</v>
      </c>
      <c r="M100" s="5" t="s">
        <v>459</v>
      </c>
      <c r="N100" s="5" t="s">
        <v>733</v>
      </c>
      <c r="O100" s="5" t="s">
        <v>94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>
        <v>7300</v>
      </c>
      <c r="AB100" s="5">
        <v>5000</v>
      </c>
      <c r="AC100" s="6">
        <v>43493</v>
      </c>
      <c r="AD100" s="5" t="s">
        <v>42</v>
      </c>
      <c r="AE100" s="5" t="s">
        <v>734</v>
      </c>
      <c r="AF100" s="5">
        <v>0</v>
      </c>
    </row>
    <row r="101" spans="1:32" ht="27.95" x14ac:dyDescent="0.3">
      <c r="A101" s="3">
        <v>95</v>
      </c>
      <c r="B101" s="3" t="str">
        <f>"201800067969"</f>
        <v>201800067969</v>
      </c>
      <c r="C101" s="3" t="str">
        <f>"135816"</f>
        <v>135816</v>
      </c>
      <c r="D101" s="3" t="s">
        <v>735</v>
      </c>
      <c r="E101" s="3">
        <v>20602848010</v>
      </c>
      <c r="F101" s="3" t="s">
        <v>736</v>
      </c>
      <c r="G101" s="3" t="s">
        <v>737</v>
      </c>
      <c r="H101" s="3" t="s">
        <v>36</v>
      </c>
      <c r="I101" s="3" t="s">
        <v>409</v>
      </c>
      <c r="J101" s="3" t="s">
        <v>738</v>
      </c>
      <c r="K101" s="3" t="s">
        <v>37</v>
      </c>
      <c r="L101" s="3" t="s">
        <v>739</v>
      </c>
      <c r="M101" s="3" t="s">
        <v>166</v>
      </c>
      <c r="N101" s="3" t="s">
        <v>154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>
        <v>20000</v>
      </c>
      <c r="AB101" s="3">
        <v>6000</v>
      </c>
      <c r="AC101" s="4">
        <v>43216</v>
      </c>
      <c r="AD101" s="3" t="s">
        <v>42</v>
      </c>
      <c r="AE101" s="3" t="s">
        <v>740</v>
      </c>
      <c r="AF101" s="3">
        <v>0</v>
      </c>
    </row>
    <row r="102" spans="1:32" ht="27.95" x14ac:dyDescent="0.3">
      <c r="A102" s="5">
        <v>96</v>
      </c>
      <c r="B102" s="5" t="str">
        <f>"201700017218"</f>
        <v>201700017218</v>
      </c>
      <c r="C102" s="5" t="str">
        <f>"126097"</f>
        <v>126097</v>
      </c>
      <c r="D102" s="5" t="s">
        <v>741</v>
      </c>
      <c r="E102" s="5">
        <v>20348303636</v>
      </c>
      <c r="F102" s="5" t="s">
        <v>378</v>
      </c>
      <c r="G102" s="5" t="s">
        <v>742</v>
      </c>
      <c r="H102" s="5" t="s">
        <v>58</v>
      </c>
      <c r="I102" s="5" t="s">
        <v>58</v>
      </c>
      <c r="J102" s="5" t="s">
        <v>403</v>
      </c>
      <c r="K102" s="5" t="s">
        <v>37</v>
      </c>
      <c r="L102" s="5" t="s">
        <v>166</v>
      </c>
      <c r="M102" s="5" t="s">
        <v>743</v>
      </c>
      <c r="N102" s="5" t="s">
        <v>50</v>
      </c>
      <c r="O102" s="5" t="s">
        <v>51</v>
      </c>
      <c r="P102" s="5" t="s">
        <v>120</v>
      </c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>
        <v>25000</v>
      </c>
      <c r="AB102" s="5">
        <v>3500</v>
      </c>
      <c r="AC102" s="6">
        <v>42774</v>
      </c>
      <c r="AD102" s="5" t="s">
        <v>42</v>
      </c>
      <c r="AE102" s="5" t="s">
        <v>744</v>
      </c>
      <c r="AF102" s="5">
        <v>0</v>
      </c>
    </row>
    <row r="103" spans="1:32" x14ac:dyDescent="0.3">
      <c r="A103" s="3">
        <v>97</v>
      </c>
      <c r="B103" s="3" t="str">
        <f>"202000003650"</f>
        <v>202000003650</v>
      </c>
      <c r="C103" s="3" t="str">
        <f>"7163"</f>
        <v>7163</v>
      </c>
      <c r="D103" s="3" t="s">
        <v>745</v>
      </c>
      <c r="E103" s="3">
        <v>20295884909</v>
      </c>
      <c r="F103" s="3" t="s">
        <v>746</v>
      </c>
      <c r="G103" s="3" t="s">
        <v>747</v>
      </c>
      <c r="H103" s="3" t="s">
        <v>58</v>
      </c>
      <c r="I103" s="3" t="s">
        <v>58</v>
      </c>
      <c r="J103" s="3" t="s">
        <v>71</v>
      </c>
      <c r="K103" s="3" t="s">
        <v>37</v>
      </c>
      <c r="L103" s="3" t="s">
        <v>172</v>
      </c>
      <c r="M103" s="3" t="s">
        <v>171</v>
      </c>
      <c r="N103" s="3" t="s">
        <v>172</v>
      </c>
      <c r="O103" s="3" t="s">
        <v>748</v>
      </c>
      <c r="P103" s="3" t="s">
        <v>103</v>
      </c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>
        <v>15200</v>
      </c>
      <c r="AB103" s="3">
        <v>2500</v>
      </c>
      <c r="AC103" s="4">
        <v>43839</v>
      </c>
      <c r="AD103" s="3" t="s">
        <v>42</v>
      </c>
      <c r="AE103" s="3" t="s">
        <v>749</v>
      </c>
      <c r="AF103" s="3">
        <v>0</v>
      </c>
    </row>
    <row r="104" spans="1:32" ht="27.95" x14ac:dyDescent="0.3">
      <c r="A104" s="5">
        <v>98</v>
      </c>
      <c r="B104" s="5" t="str">
        <f>"201300016888"</f>
        <v>201300016888</v>
      </c>
      <c r="C104" s="5" t="str">
        <f>"18878"</f>
        <v>18878</v>
      </c>
      <c r="D104" s="5" t="s">
        <v>750</v>
      </c>
      <c r="E104" s="5">
        <v>20171517380</v>
      </c>
      <c r="F104" s="5" t="s">
        <v>751</v>
      </c>
      <c r="G104" s="5" t="s">
        <v>752</v>
      </c>
      <c r="H104" s="5" t="s">
        <v>58</v>
      </c>
      <c r="I104" s="5" t="s">
        <v>58</v>
      </c>
      <c r="J104" s="5" t="s">
        <v>753</v>
      </c>
      <c r="K104" s="5" t="s">
        <v>37</v>
      </c>
      <c r="L104" s="5" t="s">
        <v>459</v>
      </c>
      <c r="M104" s="5" t="s">
        <v>74</v>
      </c>
      <c r="N104" s="5" t="s">
        <v>754</v>
      </c>
      <c r="O104" s="5" t="s">
        <v>319</v>
      </c>
      <c r="P104" s="5" t="s">
        <v>755</v>
      </c>
      <c r="Q104" s="5" t="s">
        <v>756</v>
      </c>
      <c r="R104" s="5"/>
      <c r="S104" s="5"/>
      <c r="T104" s="5"/>
      <c r="U104" s="5"/>
      <c r="V104" s="5"/>
      <c r="W104" s="5"/>
      <c r="X104" s="5"/>
      <c r="Y104" s="5"/>
      <c r="Z104" s="5"/>
      <c r="AA104" s="5">
        <v>9638</v>
      </c>
      <c r="AB104" s="5">
        <v>1800</v>
      </c>
      <c r="AC104" s="6">
        <v>41300</v>
      </c>
      <c r="AD104" s="5" t="s">
        <v>42</v>
      </c>
      <c r="AE104" s="5" t="s">
        <v>757</v>
      </c>
      <c r="AF104" s="5">
        <v>240</v>
      </c>
    </row>
    <row r="105" spans="1:32" ht="27.95" x14ac:dyDescent="0.3">
      <c r="A105" s="3">
        <v>99</v>
      </c>
      <c r="B105" s="3" t="str">
        <f>"201600148221"</f>
        <v>201600148221</v>
      </c>
      <c r="C105" s="3" t="str">
        <f>"107029"</f>
        <v>107029</v>
      </c>
      <c r="D105" s="3" t="s">
        <v>758</v>
      </c>
      <c r="E105" s="3">
        <v>20543830969</v>
      </c>
      <c r="F105" s="3" t="s">
        <v>759</v>
      </c>
      <c r="G105" s="3" t="s">
        <v>760</v>
      </c>
      <c r="H105" s="3" t="s">
        <v>36</v>
      </c>
      <c r="I105" s="3" t="s">
        <v>36</v>
      </c>
      <c r="J105" s="3" t="s">
        <v>761</v>
      </c>
      <c r="K105" s="3" t="s">
        <v>37</v>
      </c>
      <c r="L105" s="3" t="s">
        <v>762</v>
      </c>
      <c r="M105" s="3" t="s">
        <v>763</v>
      </c>
      <c r="N105" s="3" t="s">
        <v>764</v>
      </c>
      <c r="O105" s="3" t="s">
        <v>78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>
        <v>5950</v>
      </c>
      <c r="AB105" s="3">
        <v>3200</v>
      </c>
      <c r="AC105" s="4">
        <v>42677</v>
      </c>
      <c r="AD105" s="3" t="s">
        <v>42</v>
      </c>
      <c r="AE105" s="3" t="s">
        <v>765</v>
      </c>
      <c r="AF105" s="3">
        <v>0</v>
      </c>
    </row>
    <row r="106" spans="1:32" ht="27.95" x14ac:dyDescent="0.3">
      <c r="A106" s="5">
        <v>100</v>
      </c>
      <c r="B106" s="5" t="str">
        <f>"201900006554"</f>
        <v>201900006554</v>
      </c>
      <c r="C106" s="5" t="str">
        <f>"140752"</f>
        <v>140752</v>
      </c>
      <c r="D106" s="5" t="s">
        <v>766</v>
      </c>
      <c r="E106" s="5">
        <v>20603151004</v>
      </c>
      <c r="F106" s="5" t="s">
        <v>767</v>
      </c>
      <c r="G106" s="5" t="s">
        <v>768</v>
      </c>
      <c r="H106" s="5" t="s">
        <v>187</v>
      </c>
      <c r="I106" s="5" t="s">
        <v>187</v>
      </c>
      <c r="J106" s="5" t="s">
        <v>769</v>
      </c>
      <c r="K106" s="5" t="s">
        <v>37</v>
      </c>
      <c r="L106" s="5" t="s">
        <v>72</v>
      </c>
      <c r="M106" s="5" t="s">
        <v>72</v>
      </c>
      <c r="N106" s="5" t="s">
        <v>770</v>
      </c>
      <c r="O106" s="5" t="s">
        <v>94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>
        <v>24000</v>
      </c>
      <c r="AB106" s="5">
        <v>5000</v>
      </c>
      <c r="AC106" s="6">
        <v>43482</v>
      </c>
      <c r="AD106" s="5" t="s">
        <v>42</v>
      </c>
      <c r="AE106" s="5" t="s">
        <v>771</v>
      </c>
      <c r="AF106" s="5">
        <v>720</v>
      </c>
    </row>
    <row r="107" spans="1:32" x14ac:dyDescent="0.3">
      <c r="A107" s="3">
        <v>101</v>
      </c>
      <c r="B107" s="3" t="str">
        <f>"201800140588"</f>
        <v>201800140588</v>
      </c>
      <c r="C107" s="3" t="str">
        <f>"7229"</f>
        <v>7229</v>
      </c>
      <c r="D107" s="3" t="s">
        <v>772</v>
      </c>
      <c r="E107" s="3">
        <v>20503840121</v>
      </c>
      <c r="F107" s="3" t="s">
        <v>442</v>
      </c>
      <c r="G107" s="3" t="s">
        <v>773</v>
      </c>
      <c r="H107" s="3" t="s">
        <v>108</v>
      </c>
      <c r="I107" s="3" t="s">
        <v>647</v>
      </c>
      <c r="J107" s="3" t="s">
        <v>774</v>
      </c>
      <c r="K107" s="3" t="s">
        <v>37</v>
      </c>
      <c r="L107" s="3" t="s">
        <v>775</v>
      </c>
      <c r="M107" s="3" t="s">
        <v>398</v>
      </c>
      <c r="N107" s="3" t="s">
        <v>174</v>
      </c>
      <c r="O107" s="3" t="s">
        <v>664</v>
      </c>
      <c r="P107" s="3" t="s">
        <v>398</v>
      </c>
      <c r="Q107" s="3" t="s">
        <v>166</v>
      </c>
      <c r="R107" s="3" t="s">
        <v>94</v>
      </c>
      <c r="S107" s="3"/>
      <c r="T107" s="3"/>
      <c r="U107" s="3"/>
      <c r="V107" s="3"/>
      <c r="W107" s="3"/>
      <c r="X107" s="3"/>
      <c r="Y107" s="3"/>
      <c r="Z107" s="3"/>
      <c r="AA107" s="3">
        <v>29000</v>
      </c>
      <c r="AB107" s="3">
        <v>5000</v>
      </c>
      <c r="AC107" s="4">
        <v>43340</v>
      </c>
      <c r="AD107" s="3" t="s">
        <v>42</v>
      </c>
      <c r="AE107" s="3" t="s">
        <v>399</v>
      </c>
      <c r="AF107" s="3">
        <v>0</v>
      </c>
    </row>
    <row r="108" spans="1:32" x14ac:dyDescent="0.3">
      <c r="A108" s="5">
        <v>102</v>
      </c>
      <c r="B108" s="5" t="str">
        <f>"1864759"</f>
        <v>1864759</v>
      </c>
      <c r="C108" s="5" t="str">
        <f>"20120"</f>
        <v>20120</v>
      </c>
      <c r="D108" s="5" t="s">
        <v>776</v>
      </c>
      <c r="E108" s="5">
        <v>10205278732</v>
      </c>
      <c r="F108" s="5" t="s">
        <v>777</v>
      </c>
      <c r="G108" s="5" t="s">
        <v>778</v>
      </c>
      <c r="H108" s="5" t="s">
        <v>108</v>
      </c>
      <c r="I108" s="5" t="s">
        <v>144</v>
      </c>
      <c r="J108" s="5" t="s">
        <v>779</v>
      </c>
      <c r="K108" s="5" t="s">
        <v>37</v>
      </c>
      <c r="L108" s="5" t="s">
        <v>780</v>
      </c>
      <c r="M108" s="5" t="s">
        <v>781</v>
      </c>
      <c r="N108" s="5" t="s">
        <v>782</v>
      </c>
      <c r="O108" s="5" t="s">
        <v>94</v>
      </c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>
        <v>24800</v>
      </c>
      <c r="AB108" s="5">
        <v>5000</v>
      </c>
      <c r="AC108" s="6">
        <v>39842</v>
      </c>
      <c r="AD108" s="5" t="s">
        <v>42</v>
      </c>
      <c r="AE108" s="5" t="s">
        <v>783</v>
      </c>
      <c r="AF108" s="5">
        <v>0</v>
      </c>
    </row>
    <row r="109" spans="1:32" ht="27.95" x14ac:dyDescent="0.3">
      <c r="A109" s="3">
        <v>103</v>
      </c>
      <c r="B109" s="3" t="str">
        <f>"201600138261"</f>
        <v>201600138261</v>
      </c>
      <c r="C109" s="3" t="str">
        <f>"16741"</f>
        <v>16741</v>
      </c>
      <c r="D109" s="3" t="s">
        <v>784</v>
      </c>
      <c r="E109" s="3">
        <v>20601429617</v>
      </c>
      <c r="F109" s="3" t="s">
        <v>785</v>
      </c>
      <c r="G109" s="3" t="s">
        <v>786</v>
      </c>
      <c r="H109" s="3" t="s">
        <v>108</v>
      </c>
      <c r="I109" s="3" t="s">
        <v>144</v>
      </c>
      <c r="J109" s="3" t="s">
        <v>144</v>
      </c>
      <c r="K109" s="3" t="s">
        <v>37</v>
      </c>
      <c r="L109" s="3" t="s">
        <v>787</v>
      </c>
      <c r="M109" s="3" t="s">
        <v>788</v>
      </c>
      <c r="N109" s="3" t="s">
        <v>94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>
        <v>6000</v>
      </c>
      <c r="AB109" s="3">
        <v>5000</v>
      </c>
      <c r="AC109" s="4">
        <v>42661</v>
      </c>
      <c r="AD109" s="3" t="s">
        <v>42</v>
      </c>
      <c r="AE109" s="3" t="s">
        <v>789</v>
      </c>
      <c r="AF109" s="3">
        <v>720</v>
      </c>
    </row>
    <row r="110" spans="1:32" x14ac:dyDescent="0.3">
      <c r="A110" s="5">
        <v>104</v>
      </c>
      <c r="B110" s="5" t="str">
        <f>"201700131088"</f>
        <v>201700131088</v>
      </c>
      <c r="C110" s="5" t="str">
        <f>"114730"</f>
        <v>114730</v>
      </c>
      <c r="D110" s="5" t="s">
        <v>790</v>
      </c>
      <c r="E110" s="5">
        <v>10157002690</v>
      </c>
      <c r="F110" s="5" t="s">
        <v>791</v>
      </c>
      <c r="G110" s="5" t="s">
        <v>792</v>
      </c>
      <c r="H110" s="5" t="s">
        <v>58</v>
      </c>
      <c r="I110" s="5" t="s">
        <v>498</v>
      </c>
      <c r="J110" s="5" t="s">
        <v>793</v>
      </c>
      <c r="K110" s="5" t="s">
        <v>37</v>
      </c>
      <c r="L110" s="5" t="s">
        <v>172</v>
      </c>
      <c r="M110" s="5" t="s">
        <v>555</v>
      </c>
      <c r="N110" s="5" t="s">
        <v>74</v>
      </c>
      <c r="O110" s="5" t="s">
        <v>102</v>
      </c>
      <c r="P110" s="5" t="s">
        <v>794</v>
      </c>
      <c r="Q110" s="5" t="s">
        <v>381</v>
      </c>
      <c r="R110" s="5"/>
      <c r="S110" s="5"/>
      <c r="T110" s="5"/>
      <c r="U110" s="5"/>
      <c r="V110" s="5"/>
      <c r="W110" s="5"/>
      <c r="X110" s="5"/>
      <c r="Y110" s="5"/>
      <c r="Z110" s="5"/>
      <c r="AA110" s="5">
        <v>17000</v>
      </c>
      <c r="AB110" s="5">
        <v>2000</v>
      </c>
      <c r="AC110" s="6">
        <v>42970</v>
      </c>
      <c r="AD110" s="5" t="s">
        <v>42</v>
      </c>
      <c r="AE110" s="5" t="s">
        <v>791</v>
      </c>
      <c r="AF110" s="5">
        <v>0</v>
      </c>
    </row>
    <row r="111" spans="1:32" ht="27.95" x14ac:dyDescent="0.3">
      <c r="A111" s="3">
        <v>105</v>
      </c>
      <c r="B111" s="3" t="str">
        <f>"201500167952"</f>
        <v>201500167952</v>
      </c>
      <c r="C111" s="3" t="str">
        <f>"100129"</f>
        <v>100129</v>
      </c>
      <c r="D111" s="3" t="s">
        <v>795</v>
      </c>
      <c r="E111" s="3">
        <v>20548582301</v>
      </c>
      <c r="F111" s="3" t="s">
        <v>796</v>
      </c>
      <c r="G111" s="3" t="s">
        <v>797</v>
      </c>
      <c r="H111" s="3" t="s">
        <v>798</v>
      </c>
      <c r="I111" s="3" t="s">
        <v>799</v>
      </c>
      <c r="J111" s="3" t="s">
        <v>800</v>
      </c>
      <c r="K111" s="3" t="s">
        <v>37</v>
      </c>
      <c r="L111" s="3" t="s">
        <v>63</v>
      </c>
      <c r="M111" s="3" t="s">
        <v>172</v>
      </c>
      <c r="N111" s="3" t="s">
        <v>174</v>
      </c>
      <c r="O111" s="3" t="s">
        <v>94</v>
      </c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>
        <v>14000</v>
      </c>
      <c r="AB111" s="3">
        <v>5000</v>
      </c>
      <c r="AC111" s="4">
        <v>42415</v>
      </c>
      <c r="AD111" s="3" t="s">
        <v>42</v>
      </c>
      <c r="AE111" s="3" t="s">
        <v>801</v>
      </c>
      <c r="AF111" s="3">
        <v>0</v>
      </c>
    </row>
    <row r="112" spans="1:32" ht="27.95" x14ac:dyDescent="0.3">
      <c r="A112" s="5">
        <v>106</v>
      </c>
      <c r="B112" s="5" t="str">
        <f>"201700094664"</f>
        <v>201700094664</v>
      </c>
      <c r="C112" s="5" t="str">
        <f>"8656"</f>
        <v>8656</v>
      </c>
      <c r="D112" s="5" t="s">
        <v>802</v>
      </c>
      <c r="E112" s="5">
        <v>20486785307</v>
      </c>
      <c r="F112" s="5" t="s">
        <v>803</v>
      </c>
      <c r="G112" s="5" t="s">
        <v>804</v>
      </c>
      <c r="H112" s="5" t="s">
        <v>108</v>
      </c>
      <c r="I112" s="5" t="s">
        <v>144</v>
      </c>
      <c r="J112" s="5" t="s">
        <v>144</v>
      </c>
      <c r="K112" s="5" t="s">
        <v>37</v>
      </c>
      <c r="L112" s="5" t="s">
        <v>72</v>
      </c>
      <c r="M112" s="5" t="s">
        <v>805</v>
      </c>
      <c r="N112" s="5" t="s">
        <v>62</v>
      </c>
      <c r="O112" s="5" t="s">
        <v>62</v>
      </c>
      <c r="P112" s="5" t="s">
        <v>247</v>
      </c>
      <c r="Q112" s="5" t="s">
        <v>247</v>
      </c>
      <c r="R112" s="5" t="s">
        <v>398</v>
      </c>
      <c r="S112" s="5" t="s">
        <v>94</v>
      </c>
      <c r="T112" s="5"/>
      <c r="U112" s="5"/>
      <c r="V112" s="5"/>
      <c r="W112" s="5"/>
      <c r="X112" s="5"/>
      <c r="Y112" s="5"/>
      <c r="Z112" s="5"/>
      <c r="AA112" s="5">
        <v>31000</v>
      </c>
      <c r="AB112" s="5">
        <v>5000</v>
      </c>
      <c r="AC112" s="6">
        <v>42908</v>
      </c>
      <c r="AD112" s="5" t="s">
        <v>42</v>
      </c>
      <c r="AE112" s="5" t="s">
        <v>806</v>
      </c>
      <c r="AF112" s="5">
        <v>0</v>
      </c>
    </row>
    <row r="113" spans="1:32" ht="27.95" x14ac:dyDescent="0.3">
      <c r="A113" s="3">
        <v>107</v>
      </c>
      <c r="B113" s="3" t="str">
        <f>"201800175083"</f>
        <v>201800175083</v>
      </c>
      <c r="C113" s="3" t="str">
        <f>"83503"</f>
        <v>83503</v>
      </c>
      <c r="D113" s="3" t="s">
        <v>807</v>
      </c>
      <c r="E113" s="3">
        <v>10164169150</v>
      </c>
      <c r="F113" s="3" t="s">
        <v>808</v>
      </c>
      <c r="G113" s="3" t="s">
        <v>809</v>
      </c>
      <c r="H113" s="3" t="s">
        <v>36</v>
      </c>
      <c r="I113" s="3" t="s">
        <v>36</v>
      </c>
      <c r="J113" s="3" t="s">
        <v>517</v>
      </c>
      <c r="K113" s="3" t="s">
        <v>37</v>
      </c>
      <c r="L113" s="3" t="s">
        <v>810</v>
      </c>
      <c r="M113" s="3" t="s">
        <v>811</v>
      </c>
      <c r="N113" s="3" t="s">
        <v>812</v>
      </c>
      <c r="O113" s="3" t="s">
        <v>813</v>
      </c>
      <c r="P113" s="3" t="s">
        <v>814</v>
      </c>
      <c r="Q113" s="3" t="s">
        <v>54</v>
      </c>
      <c r="R113" s="3"/>
      <c r="S113" s="3"/>
      <c r="T113" s="3"/>
      <c r="U113" s="3"/>
      <c r="V113" s="3"/>
      <c r="W113" s="3"/>
      <c r="X113" s="3"/>
      <c r="Y113" s="3"/>
      <c r="Z113" s="3"/>
      <c r="AA113" s="3">
        <v>11980</v>
      </c>
      <c r="AB113" s="3">
        <v>4000</v>
      </c>
      <c r="AC113" s="4">
        <v>43404</v>
      </c>
      <c r="AD113" s="3" t="s">
        <v>42</v>
      </c>
      <c r="AE113" s="3" t="s">
        <v>815</v>
      </c>
      <c r="AF113" s="3">
        <v>0</v>
      </c>
    </row>
    <row r="114" spans="1:32" x14ac:dyDescent="0.3">
      <c r="A114" s="5">
        <v>108</v>
      </c>
      <c r="B114" s="5" t="str">
        <f>"201800195481"</f>
        <v>201800195481</v>
      </c>
      <c r="C114" s="5" t="str">
        <f>"20099"</f>
        <v>20099</v>
      </c>
      <c r="D114" s="5" t="s">
        <v>816</v>
      </c>
      <c r="E114" s="5">
        <v>20495368107</v>
      </c>
      <c r="F114" s="5" t="s">
        <v>817</v>
      </c>
      <c r="G114" s="5" t="s">
        <v>818</v>
      </c>
      <c r="H114" s="5" t="s">
        <v>656</v>
      </c>
      <c r="I114" s="5" t="s">
        <v>656</v>
      </c>
      <c r="J114" s="5" t="s">
        <v>656</v>
      </c>
      <c r="K114" s="5" t="s">
        <v>37</v>
      </c>
      <c r="L114" s="5" t="s">
        <v>72</v>
      </c>
      <c r="M114" s="5" t="s">
        <v>819</v>
      </c>
      <c r="N114" s="5" t="s">
        <v>324</v>
      </c>
      <c r="O114" s="5" t="s">
        <v>161</v>
      </c>
      <c r="P114" s="5" t="s">
        <v>285</v>
      </c>
      <c r="Q114" s="5" t="s">
        <v>248</v>
      </c>
      <c r="R114" s="5" t="s">
        <v>94</v>
      </c>
      <c r="S114" s="5"/>
      <c r="T114" s="5"/>
      <c r="U114" s="5"/>
      <c r="V114" s="5"/>
      <c r="W114" s="5"/>
      <c r="X114" s="5"/>
      <c r="Y114" s="5"/>
      <c r="Z114" s="5"/>
      <c r="AA114" s="5">
        <v>26000</v>
      </c>
      <c r="AB114" s="5">
        <v>8000</v>
      </c>
      <c r="AC114" s="6">
        <v>43430</v>
      </c>
      <c r="AD114" s="5" t="s">
        <v>42</v>
      </c>
      <c r="AE114" s="5" t="s">
        <v>720</v>
      </c>
      <c r="AF114" s="5">
        <v>240</v>
      </c>
    </row>
    <row r="115" spans="1:32" ht="27.95" x14ac:dyDescent="0.3">
      <c r="A115" s="3">
        <v>109</v>
      </c>
      <c r="B115" s="3" t="str">
        <f>"201800151332"</f>
        <v>201800151332</v>
      </c>
      <c r="C115" s="3" t="str">
        <f>"19936"</f>
        <v>19936</v>
      </c>
      <c r="D115" s="3" t="s">
        <v>820</v>
      </c>
      <c r="E115" s="3">
        <v>20601994462</v>
      </c>
      <c r="F115" s="3" t="s">
        <v>821</v>
      </c>
      <c r="G115" s="3" t="s">
        <v>822</v>
      </c>
      <c r="H115" s="3" t="s">
        <v>58</v>
      </c>
      <c r="I115" s="3" t="s">
        <v>823</v>
      </c>
      <c r="J115" s="3" t="s">
        <v>824</v>
      </c>
      <c r="K115" s="3" t="s">
        <v>37</v>
      </c>
      <c r="L115" s="3" t="s">
        <v>74</v>
      </c>
      <c r="M115" s="3" t="s">
        <v>172</v>
      </c>
      <c r="N115" s="3" t="s">
        <v>794</v>
      </c>
      <c r="O115" s="3" t="s">
        <v>825</v>
      </c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>
        <v>10000</v>
      </c>
      <c r="AB115" s="3">
        <v>3200</v>
      </c>
      <c r="AC115" s="4">
        <v>43362</v>
      </c>
      <c r="AD115" s="3" t="s">
        <v>42</v>
      </c>
      <c r="AE115" s="3" t="s">
        <v>826</v>
      </c>
      <c r="AF115" s="3">
        <v>0</v>
      </c>
    </row>
    <row r="116" spans="1:32" x14ac:dyDescent="0.3">
      <c r="A116" s="5">
        <v>110</v>
      </c>
      <c r="B116" s="5" t="str">
        <f>"201800059347"</f>
        <v>201800059347</v>
      </c>
      <c r="C116" s="5" t="str">
        <f>"7042"</f>
        <v>7042</v>
      </c>
      <c r="D116" s="5" t="s">
        <v>827</v>
      </c>
      <c r="E116" s="5">
        <v>20503840121</v>
      </c>
      <c r="F116" s="5" t="s">
        <v>828</v>
      </c>
      <c r="G116" s="5" t="s">
        <v>829</v>
      </c>
      <c r="H116" s="5" t="s">
        <v>58</v>
      </c>
      <c r="I116" s="5" t="s">
        <v>58</v>
      </c>
      <c r="J116" s="5" t="s">
        <v>444</v>
      </c>
      <c r="K116" s="5" t="s">
        <v>37</v>
      </c>
      <c r="L116" s="5" t="s">
        <v>162</v>
      </c>
      <c r="M116" s="5" t="s">
        <v>555</v>
      </c>
      <c r="N116" s="5" t="s">
        <v>263</v>
      </c>
      <c r="O116" s="5" t="s">
        <v>161</v>
      </c>
      <c r="P116" s="5" t="s">
        <v>830</v>
      </c>
      <c r="Q116" s="5" t="s">
        <v>103</v>
      </c>
      <c r="R116" s="5"/>
      <c r="S116" s="5"/>
      <c r="T116" s="5"/>
      <c r="U116" s="5"/>
      <c r="V116" s="5"/>
      <c r="W116" s="5"/>
      <c r="X116" s="5"/>
      <c r="Y116" s="5"/>
      <c r="Z116" s="5"/>
      <c r="AA116" s="5">
        <v>24000</v>
      </c>
      <c r="AB116" s="5">
        <v>2500</v>
      </c>
      <c r="AC116" s="6">
        <v>43205</v>
      </c>
      <c r="AD116" s="5" t="s">
        <v>42</v>
      </c>
      <c r="AE116" s="5" t="s">
        <v>399</v>
      </c>
      <c r="AF116" s="5">
        <v>0</v>
      </c>
    </row>
    <row r="117" spans="1:32" ht="27.95" x14ac:dyDescent="0.3">
      <c r="A117" s="3">
        <v>111</v>
      </c>
      <c r="B117" s="3" t="str">
        <f>"201900199474"</f>
        <v>201900199474</v>
      </c>
      <c r="C117" s="3" t="str">
        <f>"62680"</f>
        <v>62680</v>
      </c>
      <c r="D117" s="3" t="s">
        <v>831</v>
      </c>
      <c r="E117" s="3">
        <v>20516511975</v>
      </c>
      <c r="F117" s="3" t="s">
        <v>832</v>
      </c>
      <c r="G117" s="3" t="s">
        <v>833</v>
      </c>
      <c r="H117" s="3" t="s">
        <v>89</v>
      </c>
      <c r="I117" s="3" t="s">
        <v>89</v>
      </c>
      <c r="J117" s="3" t="s">
        <v>834</v>
      </c>
      <c r="K117" s="3" t="s">
        <v>37</v>
      </c>
      <c r="L117" s="3" t="s">
        <v>835</v>
      </c>
      <c r="M117" s="3" t="s">
        <v>836</v>
      </c>
      <c r="N117" s="3" t="s">
        <v>381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>
        <v>7848</v>
      </c>
      <c r="AB117" s="3">
        <v>2000</v>
      </c>
      <c r="AC117" s="4">
        <v>43804</v>
      </c>
      <c r="AD117" s="3" t="s">
        <v>42</v>
      </c>
      <c r="AE117" s="3" t="s">
        <v>837</v>
      </c>
      <c r="AF117" s="3">
        <v>0</v>
      </c>
    </row>
    <row r="118" spans="1:32" ht="41.95" x14ac:dyDescent="0.3">
      <c r="A118" s="5">
        <v>112</v>
      </c>
      <c r="B118" s="5" t="str">
        <f>"201900217614"</f>
        <v>201900217614</v>
      </c>
      <c r="C118" s="5" t="str">
        <f>"142686"</f>
        <v>142686</v>
      </c>
      <c r="D118" s="5" t="s">
        <v>838</v>
      </c>
      <c r="E118" s="5">
        <v>20518633482</v>
      </c>
      <c r="F118" s="5" t="s">
        <v>839</v>
      </c>
      <c r="G118" s="5" t="s">
        <v>840</v>
      </c>
      <c r="H118" s="5" t="s">
        <v>58</v>
      </c>
      <c r="I118" s="5" t="s">
        <v>58</v>
      </c>
      <c r="J118" s="5" t="s">
        <v>71</v>
      </c>
      <c r="K118" s="5" t="s">
        <v>37</v>
      </c>
      <c r="L118" s="5" t="s">
        <v>102</v>
      </c>
      <c r="M118" s="5" t="s">
        <v>841</v>
      </c>
      <c r="N118" s="5" t="s">
        <v>78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>
        <v>10000</v>
      </c>
      <c r="AB118" s="5">
        <v>3200</v>
      </c>
      <c r="AC118" s="6">
        <v>43835</v>
      </c>
      <c r="AD118" s="5" t="s">
        <v>42</v>
      </c>
      <c r="AE118" s="5" t="s">
        <v>842</v>
      </c>
      <c r="AF118" s="5">
        <v>720</v>
      </c>
    </row>
    <row r="119" spans="1:32" ht="27.95" x14ac:dyDescent="0.3">
      <c r="A119" s="3">
        <v>113</v>
      </c>
      <c r="B119" s="3" t="str">
        <f>"201900209770"</f>
        <v>201900209770</v>
      </c>
      <c r="C119" s="3" t="str">
        <f>"7774"</f>
        <v>7774</v>
      </c>
      <c r="D119" s="3" t="s">
        <v>843</v>
      </c>
      <c r="E119" s="3">
        <v>20605363432</v>
      </c>
      <c r="F119" s="3" t="s">
        <v>844</v>
      </c>
      <c r="G119" s="3" t="s">
        <v>845</v>
      </c>
      <c r="H119" s="3" t="s">
        <v>108</v>
      </c>
      <c r="I119" s="3" t="s">
        <v>647</v>
      </c>
      <c r="J119" s="3" t="s">
        <v>846</v>
      </c>
      <c r="K119" s="3" t="s">
        <v>37</v>
      </c>
      <c r="L119" s="3" t="s">
        <v>102</v>
      </c>
      <c r="M119" s="3" t="s">
        <v>232</v>
      </c>
      <c r="N119" s="3" t="s">
        <v>847</v>
      </c>
      <c r="O119" s="3" t="s">
        <v>557</v>
      </c>
      <c r="P119" s="3" t="s">
        <v>94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>
        <v>28000</v>
      </c>
      <c r="AB119" s="3">
        <v>5000</v>
      </c>
      <c r="AC119" s="4">
        <v>43832</v>
      </c>
      <c r="AD119" s="3" t="s">
        <v>42</v>
      </c>
      <c r="AE119" s="3" t="s">
        <v>848</v>
      </c>
      <c r="AF119" s="3">
        <v>0</v>
      </c>
    </row>
    <row r="120" spans="1:32" ht="27.95" x14ac:dyDescent="0.3">
      <c r="A120" s="5">
        <v>114</v>
      </c>
      <c r="B120" s="5" t="str">
        <f>"202000092000"</f>
        <v>202000092000</v>
      </c>
      <c r="C120" s="5" t="str">
        <f>"37876"</f>
        <v>37876</v>
      </c>
      <c r="D120" s="5" t="s">
        <v>849</v>
      </c>
      <c r="E120" s="5">
        <v>20568600453</v>
      </c>
      <c r="F120" s="5" t="s">
        <v>850</v>
      </c>
      <c r="G120" s="5" t="s">
        <v>851</v>
      </c>
      <c r="H120" s="5" t="s">
        <v>108</v>
      </c>
      <c r="I120" s="5" t="s">
        <v>852</v>
      </c>
      <c r="J120" s="5" t="s">
        <v>852</v>
      </c>
      <c r="K120" s="5" t="s">
        <v>37</v>
      </c>
      <c r="L120" s="5" t="s">
        <v>63</v>
      </c>
      <c r="M120" s="5" t="s">
        <v>628</v>
      </c>
      <c r="N120" s="5" t="s">
        <v>63</v>
      </c>
      <c r="O120" s="5" t="s">
        <v>103</v>
      </c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>
        <v>18000</v>
      </c>
      <c r="AB120" s="5">
        <v>2500</v>
      </c>
      <c r="AC120" s="6">
        <v>44048</v>
      </c>
      <c r="AD120" s="5" t="s">
        <v>42</v>
      </c>
      <c r="AE120" s="5" t="s">
        <v>853</v>
      </c>
      <c r="AF120" s="5">
        <v>0</v>
      </c>
    </row>
    <row r="121" spans="1:32" ht="27.95" x14ac:dyDescent="0.3">
      <c r="A121" s="3">
        <v>115</v>
      </c>
      <c r="B121" s="3" t="str">
        <f>"201800140592"</f>
        <v>201800140592</v>
      </c>
      <c r="C121" s="3" t="str">
        <f>"7995"</f>
        <v>7995</v>
      </c>
      <c r="D121" s="3" t="s">
        <v>854</v>
      </c>
      <c r="E121" s="3">
        <v>20503840121</v>
      </c>
      <c r="F121" s="3" t="s">
        <v>855</v>
      </c>
      <c r="G121" s="3" t="s">
        <v>856</v>
      </c>
      <c r="H121" s="3" t="s">
        <v>108</v>
      </c>
      <c r="I121" s="3" t="s">
        <v>647</v>
      </c>
      <c r="J121" s="3" t="s">
        <v>647</v>
      </c>
      <c r="K121" s="3" t="s">
        <v>37</v>
      </c>
      <c r="L121" s="3" t="s">
        <v>857</v>
      </c>
      <c r="M121" s="3" t="s">
        <v>63</v>
      </c>
      <c r="N121" s="3" t="s">
        <v>54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14000</v>
      </c>
      <c r="AB121" s="3">
        <v>4000</v>
      </c>
      <c r="AC121" s="4">
        <v>43335</v>
      </c>
      <c r="AD121" s="3" t="s">
        <v>42</v>
      </c>
      <c r="AE121" s="3" t="s">
        <v>858</v>
      </c>
      <c r="AF121" s="3">
        <v>0</v>
      </c>
    </row>
    <row r="122" spans="1:32" ht="27.95" x14ac:dyDescent="0.3">
      <c r="A122" s="5">
        <v>116</v>
      </c>
      <c r="B122" s="5" t="str">
        <f>"201900140252"</f>
        <v>201900140252</v>
      </c>
      <c r="C122" s="5" t="str">
        <f>"109159"</f>
        <v>109159</v>
      </c>
      <c r="D122" s="5" t="s">
        <v>859</v>
      </c>
      <c r="E122" s="5">
        <v>20559962881</v>
      </c>
      <c r="F122" s="5" t="s">
        <v>860</v>
      </c>
      <c r="G122" s="5" t="s">
        <v>861</v>
      </c>
      <c r="H122" s="5" t="s">
        <v>219</v>
      </c>
      <c r="I122" s="5" t="s">
        <v>220</v>
      </c>
      <c r="J122" s="5" t="s">
        <v>302</v>
      </c>
      <c r="K122" s="5" t="s">
        <v>37</v>
      </c>
      <c r="L122" s="5" t="s">
        <v>862</v>
      </c>
      <c r="M122" s="5" t="s">
        <v>862</v>
      </c>
      <c r="N122" s="5" t="s">
        <v>863</v>
      </c>
      <c r="O122" s="5" t="s">
        <v>94</v>
      </c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>
        <v>21300</v>
      </c>
      <c r="AB122" s="5">
        <v>5000</v>
      </c>
      <c r="AC122" s="6">
        <v>43705</v>
      </c>
      <c r="AD122" s="5" t="s">
        <v>42</v>
      </c>
      <c r="AE122" s="5" t="s">
        <v>864</v>
      </c>
      <c r="AF122" s="5">
        <v>720</v>
      </c>
    </row>
    <row r="123" spans="1:32" x14ac:dyDescent="0.3">
      <c r="A123" s="3">
        <v>117</v>
      </c>
      <c r="B123" s="3" t="str">
        <f>"202000107317"</f>
        <v>202000107317</v>
      </c>
      <c r="C123" s="3" t="str">
        <f>"7298"</f>
        <v>7298</v>
      </c>
      <c r="D123" s="3" t="s">
        <v>865</v>
      </c>
      <c r="E123" s="3">
        <v>20219539119</v>
      </c>
      <c r="F123" s="3" t="s">
        <v>866</v>
      </c>
      <c r="G123" s="3" t="s">
        <v>867</v>
      </c>
      <c r="H123" s="3" t="s">
        <v>108</v>
      </c>
      <c r="I123" s="3" t="s">
        <v>647</v>
      </c>
      <c r="J123" s="3" t="s">
        <v>846</v>
      </c>
      <c r="K123" s="3" t="s">
        <v>37</v>
      </c>
      <c r="L123" s="3" t="s">
        <v>72</v>
      </c>
      <c r="M123" s="3" t="s">
        <v>61</v>
      </c>
      <c r="N123" s="3" t="s">
        <v>868</v>
      </c>
      <c r="O123" s="3" t="s">
        <v>74</v>
      </c>
      <c r="P123" s="3" t="s">
        <v>78</v>
      </c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>
        <v>21900</v>
      </c>
      <c r="AB123" s="3">
        <v>3200</v>
      </c>
      <c r="AC123" s="4">
        <v>44067</v>
      </c>
      <c r="AD123" s="3" t="s">
        <v>42</v>
      </c>
      <c r="AE123" s="3" t="s">
        <v>869</v>
      </c>
      <c r="AF123" s="3">
        <v>0</v>
      </c>
    </row>
    <row r="124" spans="1:32" ht="27.95" x14ac:dyDescent="0.3">
      <c r="A124" s="5">
        <v>118</v>
      </c>
      <c r="B124" s="5" t="str">
        <f>"201800087345"</f>
        <v>201800087345</v>
      </c>
      <c r="C124" s="5" t="str">
        <f>"100232"</f>
        <v>100232</v>
      </c>
      <c r="D124" s="5" t="s">
        <v>870</v>
      </c>
      <c r="E124" s="5">
        <v>20563355876</v>
      </c>
      <c r="F124" s="5" t="s">
        <v>871</v>
      </c>
      <c r="G124" s="5" t="s">
        <v>872</v>
      </c>
      <c r="H124" s="5" t="s">
        <v>58</v>
      </c>
      <c r="I124" s="5" t="s">
        <v>58</v>
      </c>
      <c r="J124" s="5" t="s">
        <v>231</v>
      </c>
      <c r="K124" s="5" t="s">
        <v>37</v>
      </c>
      <c r="L124" s="5" t="s">
        <v>873</v>
      </c>
      <c r="M124" s="5" t="s">
        <v>874</v>
      </c>
      <c r="N124" s="5" t="s">
        <v>875</v>
      </c>
      <c r="O124" s="5" t="s">
        <v>876</v>
      </c>
      <c r="P124" s="5" t="s">
        <v>103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12132</v>
      </c>
      <c r="AB124" s="5">
        <v>2500</v>
      </c>
      <c r="AC124" s="6">
        <v>43248</v>
      </c>
      <c r="AD124" s="5" t="s">
        <v>42</v>
      </c>
      <c r="AE124" s="5" t="s">
        <v>877</v>
      </c>
      <c r="AF124" s="5">
        <v>0</v>
      </c>
    </row>
    <row r="125" spans="1:32" ht="27.95" x14ac:dyDescent="0.3">
      <c r="A125" s="3">
        <v>119</v>
      </c>
      <c r="B125" s="3" t="str">
        <f>"201900119935"</f>
        <v>201900119935</v>
      </c>
      <c r="C125" s="3" t="str">
        <f>"39470"</f>
        <v>39470</v>
      </c>
      <c r="D125" s="3" t="s">
        <v>878</v>
      </c>
      <c r="E125" s="3">
        <v>20603111371</v>
      </c>
      <c r="F125" s="3" t="s">
        <v>879</v>
      </c>
      <c r="G125" s="3" t="s">
        <v>880</v>
      </c>
      <c r="H125" s="3" t="s">
        <v>656</v>
      </c>
      <c r="I125" s="3" t="s">
        <v>656</v>
      </c>
      <c r="J125" s="3" t="s">
        <v>656</v>
      </c>
      <c r="K125" s="3" t="s">
        <v>37</v>
      </c>
      <c r="L125" s="3" t="s">
        <v>881</v>
      </c>
      <c r="M125" s="3" t="s">
        <v>882</v>
      </c>
      <c r="N125" s="3" t="s">
        <v>670</v>
      </c>
      <c r="O125" s="3" t="s">
        <v>278</v>
      </c>
      <c r="P125" s="3" t="s">
        <v>94</v>
      </c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>
        <v>13100</v>
      </c>
      <c r="AB125" s="3">
        <v>5000</v>
      </c>
      <c r="AC125" s="4">
        <v>43671</v>
      </c>
      <c r="AD125" s="3" t="s">
        <v>42</v>
      </c>
      <c r="AE125" s="3" t="s">
        <v>659</v>
      </c>
      <c r="AF125" s="3">
        <v>0</v>
      </c>
    </row>
    <row r="126" spans="1:32" ht="27.95" x14ac:dyDescent="0.3">
      <c r="A126" s="5">
        <v>120</v>
      </c>
      <c r="B126" s="5" t="str">
        <f>"201800063329"</f>
        <v>201800063329</v>
      </c>
      <c r="C126" s="5" t="str">
        <f>"39356"</f>
        <v>39356</v>
      </c>
      <c r="D126" s="5" t="s">
        <v>883</v>
      </c>
      <c r="E126" s="5">
        <v>20569049645</v>
      </c>
      <c r="F126" s="5" t="s">
        <v>884</v>
      </c>
      <c r="G126" s="5" t="s">
        <v>885</v>
      </c>
      <c r="H126" s="5" t="s">
        <v>108</v>
      </c>
      <c r="I126" s="5" t="s">
        <v>144</v>
      </c>
      <c r="J126" s="5" t="s">
        <v>144</v>
      </c>
      <c r="K126" s="5" t="s">
        <v>37</v>
      </c>
      <c r="L126" s="5" t="s">
        <v>161</v>
      </c>
      <c r="M126" s="5" t="s">
        <v>886</v>
      </c>
      <c r="N126" s="5" t="s">
        <v>887</v>
      </c>
      <c r="O126" s="5" t="s">
        <v>63</v>
      </c>
      <c r="P126" s="5" t="s">
        <v>94</v>
      </c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>
        <v>16300</v>
      </c>
      <c r="AB126" s="5">
        <v>5000</v>
      </c>
      <c r="AC126" s="6">
        <v>43217</v>
      </c>
      <c r="AD126" s="5" t="s">
        <v>42</v>
      </c>
      <c r="AE126" s="5" t="s">
        <v>888</v>
      </c>
      <c r="AF126" s="5">
        <v>0</v>
      </c>
    </row>
    <row r="127" spans="1:32" x14ac:dyDescent="0.3">
      <c r="A127" s="3">
        <v>121</v>
      </c>
      <c r="B127" s="3" t="str">
        <f>"201800140599"</f>
        <v>201800140599</v>
      </c>
      <c r="C127" s="3" t="str">
        <f>"7682"</f>
        <v>7682</v>
      </c>
      <c r="D127" s="3" t="s">
        <v>889</v>
      </c>
      <c r="E127" s="3">
        <v>20503840121</v>
      </c>
      <c r="F127" s="3" t="s">
        <v>855</v>
      </c>
      <c r="G127" s="3" t="s">
        <v>890</v>
      </c>
      <c r="H127" s="3" t="s">
        <v>108</v>
      </c>
      <c r="I127" s="3" t="s">
        <v>647</v>
      </c>
      <c r="J127" s="3" t="s">
        <v>891</v>
      </c>
      <c r="K127" s="3" t="s">
        <v>37</v>
      </c>
      <c r="L127" s="3" t="s">
        <v>232</v>
      </c>
      <c r="M127" s="3" t="s">
        <v>396</v>
      </c>
      <c r="N127" s="3" t="s">
        <v>49</v>
      </c>
      <c r="O127" s="3" t="s">
        <v>50</v>
      </c>
      <c r="P127" s="3" t="s">
        <v>166</v>
      </c>
      <c r="Q127" s="3" t="s">
        <v>94</v>
      </c>
      <c r="R127" s="3"/>
      <c r="S127" s="3"/>
      <c r="T127" s="3"/>
      <c r="U127" s="3"/>
      <c r="V127" s="3"/>
      <c r="W127" s="3"/>
      <c r="X127" s="3"/>
      <c r="Y127" s="3"/>
      <c r="Z127" s="3"/>
      <c r="AA127" s="3">
        <v>35000</v>
      </c>
      <c r="AB127" s="3">
        <v>5000</v>
      </c>
      <c r="AC127" s="4">
        <v>43336</v>
      </c>
      <c r="AD127" s="3" t="s">
        <v>42</v>
      </c>
      <c r="AE127" s="3" t="s">
        <v>858</v>
      </c>
      <c r="AF127" s="3">
        <v>0</v>
      </c>
    </row>
    <row r="128" spans="1:32" ht="41.95" x14ac:dyDescent="0.3">
      <c r="A128" s="5">
        <v>122</v>
      </c>
      <c r="B128" s="5" t="str">
        <f>"201700139687"</f>
        <v>201700139687</v>
      </c>
      <c r="C128" s="5" t="str">
        <f>"62696"</f>
        <v>62696</v>
      </c>
      <c r="D128" s="5" t="s">
        <v>892</v>
      </c>
      <c r="E128" s="5">
        <v>20494620856</v>
      </c>
      <c r="F128" s="5" t="s">
        <v>893</v>
      </c>
      <c r="G128" s="5" t="s">
        <v>894</v>
      </c>
      <c r="H128" s="5" t="s">
        <v>47</v>
      </c>
      <c r="I128" s="5" t="s">
        <v>159</v>
      </c>
      <c r="J128" s="5" t="s">
        <v>160</v>
      </c>
      <c r="K128" s="5" t="s">
        <v>37</v>
      </c>
      <c r="L128" s="5" t="s">
        <v>895</v>
      </c>
      <c r="M128" s="5" t="s">
        <v>94</v>
      </c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>
        <v>9000</v>
      </c>
      <c r="AB128" s="5">
        <v>5000</v>
      </c>
      <c r="AC128" s="6">
        <v>42979</v>
      </c>
      <c r="AD128" s="5" t="s">
        <v>42</v>
      </c>
      <c r="AE128" s="5" t="s">
        <v>896</v>
      </c>
      <c r="AF128" s="5">
        <v>0</v>
      </c>
    </row>
    <row r="129" spans="1:32" ht="27.95" x14ac:dyDescent="0.3">
      <c r="A129" s="3">
        <v>123</v>
      </c>
      <c r="B129" s="3" t="str">
        <f>"201800013019"</f>
        <v>201800013019</v>
      </c>
      <c r="C129" s="3" t="str">
        <f>"42927"</f>
        <v>42927</v>
      </c>
      <c r="D129" s="3" t="s">
        <v>897</v>
      </c>
      <c r="E129" s="3">
        <v>20479100641</v>
      </c>
      <c r="F129" s="3" t="s">
        <v>898</v>
      </c>
      <c r="G129" s="3" t="s">
        <v>899</v>
      </c>
      <c r="H129" s="3" t="s">
        <v>47</v>
      </c>
      <c r="I129" s="3" t="s">
        <v>290</v>
      </c>
      <c r="J129" s="3" t="s">
        <v>626</v>
      </c>
      <c r="K129" s="3" t="s">
        <v>37</v>
      </c>
      <c r="L129" s="3" t="s">
        <v>74</v>
      </c>
      <c r="M129" s="3" t="s">
        <v>76</v>
      </c>
      <c r="N129" s="3" t="s">
        <v>900</v>
      </c>
      <c r="O129" s="3" t="s">
        <v>166</v>
      </c>
      <c r="P129" s="3" t="s">
        <v>94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>
        <v>17000</v>
      </c>
      <c r="AB129" s="3">
        <v>5000</v>
      </c>
      <c r="AC129" s="4">
        <v>43131</v>
      </c>
      <c r="AD129" s="3" t="s">
        <v>42</v>
      </c>
      <c r="AE129" s="3" t="s">
        <v>901</v>
      </c>
      <c r="AF129" s="3">
        <v>480</v>
      </c>
    </row>
    <row r="130" spans="1:32" x14ac:dyDescent="0.3">
      <c r="A130" s="5">
        <v>124</v>
      </c>
      <c r="B130" s="5" t="str">
        <f>"202000067162"</f>
        <v>202000067162</v>
      </c>
      <c r="C130" s="5" t="str">
        <f>"144855"</f>
        <v>144855</v>
      </c>
      <c r="D130" s="5" t="s">
        <v>902</v>
      </c>
      <c r="E130" s="5">
        <v>20600016432</v>
      </c>
      <c r="F130" s="5" t="s">
        <v>903</v>
      </c>
      <c r="G130" s="5" t="s">
        <v>904</v>
      </c>
      <c r="H130" s="5" t="s">
        <v>58</v>
      </c>
      <c r="I130" s="5" t="s">
        <v>58</v>
      </c>
      <c r="J130" s="5" t="s">
        <v>71</v>
      </c>
      <c r="K130" s="5" t="s">
        <v>37</v>
      </c>
      <c r="L130" s="5" t="s">
        <v>232</v>
      </c>
      <c r="M130" s="5" t="s">
        <v>164</v>
      </c>
      <c r="N130" s="5" t="s">
        <v>233</v>
      </c>
      <c r="O130" s="5" t="s">
        <v>166</v>
      </c>
      <c r="P130" s="5" t="s">
        <v>166</v>
      </c>
      <c r="Q130" s="5" t="s">
        <v>94</v>
      </c>
      <c r="R130" s="5"/>
      <c r="S130" s="5"/>
      <c r="T130" s="5"/>
      <c r="U130" s="5"/>
      <c r="V130" s="5"/>
      <c r="W130" s="5"/>
      <c r="X130" s="5"/>
      <c r="Y130" s="5"/>
      <c r="Z130" s="5"/>
      <c r="AA130" s="5">
        <v>50000</v>
      </c>
      <c r="AB130" s="5">
        <v>5000</v>
      </c>
      <c r="AC130" s="6">
        <v>44023</v>
      </c>
      <c r="AD130" s="5" t="s">
        <v>42</v>
      </c>
      <c r="AE130" s="5" t="s">
        <v>905</v>
      </c>
      <c r="AF130" s="5">
        <v>0</v>
      </c>
    </row>
    <row r="131" spans="1:32" ht="27.95" x14ac:dyDescent="0.3">
      <c r="A131" s="3">
        <v>125</v>
      </c>
      <c r="B131" s="3" t="str">
        <f>"201800067051"</f>
        <v>201800067051</v>
      </c>
      <c r="C131" s="3" t="str">
        <f>"88693"</f>
        <v>88693</v>
      </c>
      <c r="D131" s="3" t="s">
        <v>906</v>
      </c>
      <c r="E131" s="3">
        <v>20503840121</v>
      </c>
      <c r="F131" s="3" t="s">
        <v>442</v>
      </c>
      <c r="G131" s="3" t="s">
        <v>907</v>
      </c>
      <c r="H131" s="3" t="s">
        <v>219</v>
      </c>
      <c r="I131" s="3" t="s">
        <v>220</v>
      </c>
      <c r="J131" s="3" t="s">
        <v>908</v>
      </c>
      <c r="K131" s="3" t="s">
        <v>37</v>
      </c>
      <c r="L131" s="3" t="s">
        <v>909</v>
      </c>
      <c r="M131" s="3" t="s">
        <v>910</v>
      </c>
      <c r="N131" s="3" t="s">
        <v>911</v>
      </c>
      <c r="O131" s="3" t="s">
        <v>912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>
        <v>23500</v>
      </c>
      <c r="AB131" s="3">
        <v>3200</v>
      </c>
      <c r="AC131" s="4">
        <v>43217</v>
      </c>
      <c r="AD131" s="3" t="s">
        <v>42</v>
      </c>
      <c r="AE131" s="3" t="s">
        <v>913</v>
      </c>
      <c r="AF131" s="3">
        <v>0</v>
      </c>
    </row>
    <row r="132" spans="1:32" ht="27.95" x14ac:dyDescent="0.3">
      <c r="A132" s="5">
        <v>126</v>
      </c>
      <c r="B132" s="5" t="str">
        <f>"202000033906"</f>
        <v>202000033906</v>
      </c>
      <c r="C132" s="5" t="str">
        <f>"37658"</f>
        <v>37658</v>
      </c>
      <c r="D132" s="5" t="s">
        <v>914</v>
      </c>
      <c r="E132" s="5">
        <v>20486279436</v>
      </c>
      <c r="F132" s="5" t="s">
        <v>915</v>
      </c>
      <c r="G132" s="5" t="s">
        <v>916</v>
      </c>
      <c r="H132" s="5" t="s">
        <v>450</v>
      </c>
      <c r="I132" s="5" t="s">
        <v>450</v>
      </c>
      <c r="J132" s="5" t="s">
        <v>450</v>
      </c>
      <c r="K132" s="5" t="s">
        <v>37</v>
      </c>
      <c r="L132" s="5" t="s">
        <v>72</v>
      </c>
      <c r="M132" s="5" t="s">
        <v>917</v>
      </c>
      <c r="N132" s="5" t="s">
        <v>380</v>
      </c>
      <c r="O132" s="5" t="s">
        <v>72</v>
      </c>
      <c r="P132" s="5" t="s">
        <v>94</v>
      </c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>
        <v>30500</v>
      </c>
      <c r="AB132" s="5">
        <v>5000</v>
      </c>
      <c r="AC132" s="6">
        <v>43888</v>
      </c>
      <c r="AD132" s="5" t="s">
        <v>42</v>
      </c>
      <c r="AE132" s="5" t="s">
        <v>918</v>
      </c>
      <c r="AF132" s="5">
        <v>0</v>
      </c>
    </row>
    <row r="133" spans="1:32" ht="27.95" x14ac:dyDescent="0.3">
      <c r="A133" s="3">
        <v>127</v>
      </c>
      <c r="B133" s="3" t="str">
        <f>"201800126687"</f>
        <v>201800126687</v>
      </c>
      <c r="C133" s="3" t="str">
        <f>"106321"</f>
        <v>106321</v>
      </c>
      <c r="D133" s="3" t="s">
        <v>919</v>
      </c>
      <c r="E133" s="3">
        <v>20491593823</v>
      </c>
      <c r="F133" s="3" t="s">
        <v>920</v>
      </c>
      <c r="G133" s="3" t="s">
        <v>921</v>
      </c>
      <c r="H133" s="3" t="s">
        <v>134</v>
      </c>
      <c r="I133" s="3" t="s">
        <v>134</v>
      </c>
      <c r="J133" s="3" t="s">
        <v>134</v>
      </c>
      <c r="K133" s="3" t="s">
        <v>37</v>
      </c>
      <c r="L133" s="3" t="s">
        <v>922</v>
      </c>
      <c r="M133" s="3" t="s">
        <v>923</v>
      </c>
      <c r="N133" s="3" t="s">
        <v>277</v>
      </c>
      <c r="O133" s="3" t="s">
        <v>277</v>
      </c>
      <c r="P133" s="3" t="s">
        <v>278</v>
      </c>
      <c r="Q133" s="3" t="s">
        <v>41</v>
      </c>
      <c r="R133" s="3"/>
      <c r="S133" s="3"/>
      <c r="T133" s="3"/>
      <c r="U133" s="3"/>
      <c r="V133" s="3"/>
      <c r="W133" s="3"/>
      <c r="X133" s="3"/>
      <c r="Y133" s="3"/>
      <c r="Z133" s="3"/>
      <c r="AA133" s="3">
        <v>22100</v>
      </c>
      <c r="AB133" s="3">
        <v>10000</v>
      </c>
      <c r="AC133" s="4">
        <v>43314</v>
      </c>
      <c r="AD133" s="3" t="s">
        <v>42</v>
      </c>
      <c r="AE133" s="3" t="s">
        <v>924</v>
      </c>
      <c r="AF133" s="3">
        <v>0</v>
      </c>
    </row>
    <row r="134" spans="1:32" ht="27.95" x14ac:dyDescent="0.3">
      <c r="A134" s="5">
        <v>128</v>
      </c>
      <c r="B134" s="5" t="str">
        <f>"201900109888"</f>
        <v>201900109888</v>
      </c>
      <c r="C134" s="5" t="str">
        <f>"145148"</f>
        <v>145148</v>
      </c>
      <c r="D134" s="5" t="s">
        <v>925</v>
      </c>
      <c r="E134" s="5">
        <v>20601961785</v>
      </c>
      <c r="F134" s="5" t="s">
        <v>926</v>
      </c>
      <c r="G134" s="5" t="s">
        <v>927</v>
      </c>
      <c r="H134" s="5" t="s">
        <v>219</v>
      </c>
      <c r="I134" s="5" t="s">
        <v>568</v>
      </c>
      <c r="J134" s="5" t="s">
        <v>928</v>
      </c>
      <c r="K134" s="5" t="s">
        <v>37</v>
      </c>
      <c r="L134" s="5" t="s">
        <v>929</v>
      </c>
      <c r="M134" s="5" t="s">
        <v>930</v>
      </c>
      <c r="N134" s="5" t="s">
        <v>74</v>
      </c>
      <c r="O134" s="5" t="s">
        <v>66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>
        <v>12000</v>
      </c>
      <c r="AB134" s="5">
        <v>4500</v>
      </c>
      <c r="AC134" s="6">
        <v>43662</v>
      </c>
      <c r="AD134" s="5" t="s">
        <v>42</v>
      </c>
      <c r="AE134" s="5" t="s">
        <v>931</v>
      </c>
      <c r="AF134" s="5">
        <v>0</v>
      </c>
    </row>
    <row r="135" spans="1:32" ht="27.95" x14ac:dyDescent="0.3">
      <c r="A135" s="3">
        <v>129</v>
      </c>
      <c r="B135" s="3" t="str">
        <f>"202000086038"</f>
        <v>202000086038</v>
      </c>
      <c r="C135" s="3" t="str">
        <f>"131732"</f>
        <v>131732</v>
      </c>
      <c r="D135" s="3" t="s">
        <v>932</v>
      </c>
      <c r="E135" s="3">
        <v>20604904979</v>
      </c>
      <c r="F135" s="3" t="s">
        <v>933</v>
      </c>
      <c r="G135" s="3" t="s">
        <v>934</v>
      </c>
      <c r="H135" s="3" t="s">
        <v>935</v>
      </c>
      <c r="I135" s="3" t="s">
        <v>936</v>
      </c>
      <c r="J135" s="3" t="s">
        <v>935</v>
      </c>
      <c r="K135" s="3" t="s">
        <v>37</v>
      </c>
      <c r="L135" s="3" t="s">
        <v>937</v>
      </c>
      <c r="M135" s="3" t="s">
        <v>938</v>
      </c>
      <c r="N135" s="3" t="s">
        <v>94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>
        <v>20000</v>
      </c>
      <c r="AB135" s="3">
        <v>5000</v>
      </c>
      <c r="AC135" s="4">
        <v>44029</v>
      </c>
      <c r="AD135" s="3" t="s">
        <v>42</v>
      </c>
      <c r="AE135" s="3" t="s">
        <v>939</v>
      </c>
      <c r="AF135" s="3">
        <v>0</v>
      </c>
    </row>
    <row r="136" spans="1:32" ht="27.95" x14ac:dyDescent="0.3">
      <c r="A136" s="5">
        <v>130</v>
      </c>
      <c r="B136" s="5" t="str">
        <f>"201900080080"</f>
        <v>201900080080</v>
      </c>
      <c r="C136" s="5" t="str">
        <f>"9472"</f>
        <v>9472</v>
      </c>
      <c r="D136" s="5" t="s">
        <v>940</v>
      </c>
      <c r="E136" s="5">
        <v>20604705721</v>
      </c>
      <c r="F136" s="5" t="s">
        <v>941</v>
      </c>
      <c r="G136" s="5" t="s">
        <v>942</v>
      </c>
      <c r="H136" s="5" t="s">
        <v>219</v>
      </c>
      <c r="I136" s="5" t="s">
        <v>568</v>
      </c>
      <c r="J136" s="5" t="s">
        <v>568</v>
      </c>
      <c r="K136" s="5" t="s">
        <v>37</v>
      </c>
      <c r="L136" s="5" t="s">
        <v>943</v>
      </c>
      <c r="M136" s="5" t="s">
        <v>944</v>
      </c>
      <c r="N136" s="5" t="s">
        <v>78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18000</v>
      </c>
      <c r="AB136" s="5">
        <v>3200</v>
      </c>
      <c r="AC136" s="6">
        <v>43616</v>
      </c>
      <c r="AD136" s="5" t="s">
        <v>42</v>
      </c>
      <c r="AE136" s="5" t="s">
        <v>945</v>
      </c>
      <c r="AF136" s="5">
        <v>0</v>
      </c>
    </row>
    <row r="137" spans="1:32" ht="27.95" x14ac:dyDescent="0.3">
      <c r="A137" s="3">
        <v>131</v>
      </c>
      <c r="B137" s="3" t="str">
        <f>"201900199059"</f>
        <v>201900199059</v>
      </c>
      <c r="C137" s="3" t="str">
        <f>"148163"</f>
        <v>148163</v>
      </c>
      <c r="D137" s="3" t="s">
        <v>946</v>
      </c>
      <c r="E137" s="3">
        <v>20602500021</v>
      </c>
      <c r="F137" s="3" t="s">
        <v>947</v>
      </c>
      <c r="G137" s="3" t="s">
        <v>948</v>
      </c>
      <c r="H137" s="3" t="s">
        <v>638</v>
      </c>
      <c r="I137" s="3" t="s">
        <v>639</v>
      </c>
      <c r="J137" s="3" t="s">
        <v>949</v>
      </c>
      <c r="K137" s="3" t="s">
        <v>37</v>
      </c>
      <c r="L137" s="3" t="s">
        <v>950</v>
      </c>
      <c r="M137" s="3" t="s">
        <v>951</v>
      </c>
      <c r="N137" s="3" t="s">
        <v>952</v>
      </c>
      <c r="O137" s="3" t="s">
        <v>953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>
        <v>24000</v>
      </c>
      <c r="AB137" s="3">
        <v>6400</v>
      </c>
      <c r="AC137" s="4">
        <v>43808</v>
      </c>
      <c r="AD137" s="3" t="s">
        <v>42</v>
      </c>
      <c r="AE137" s="3" t="s">
        <v>954</v>
      </c>
      <c r="AF137" s="3">
        <v>0</v>
      </c>
    </row>
    <row r="138" spans="1:32" ht="27.95" x14ac:dyDescent="0.3">
      <c r="A138" s="5">
        <v>132</v>
      </c>
      <c r="B138" s="5" t="str">
        <f>"201900142682"</f>
        <v>201900142682</v>
      </c>
      <c r="C138" s="5" t="str">
        <f>"140682"</f>
        <v>140682</v>
      </c>
      <c r="D138" s="5" t="s">
        <v>955</v>
      </c>
      <c r="E138" s="5">
        <v>10199410861</v>
      </c>
      <c r="F138" s="5" t="s">
        <v>956</v>
      </c>
      <c r="G138" s="5" t="s">
        <v>957</v>
      </c>
      <c r="H138" s="5" t="s">
        <v>108</v>
      </c>
      <c r="I138" s="5" t="s">
        <v>647</v>
      </c>
      <c r="J138" s="5" t="s">
        <v>958</v>
      </c>
      <c r="K138" s="5" t="s">
        <v>37</v>
      </c>
      <c r="L138" s="5" t="s">
        <v>72</v>
      </c>
      <c r="M138" s="5" t="s">
        <v>959</v>
      </c>
      <c r="N138" s="5" t="s">
        <v>960</v>
      </c>
      <c r="O138" s="5" t="s">
        <v>94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20000</v>
      </c>
      <c r="AB138" s="5">
        <v>5000</v>
      </c>
      <c r="AC138" s="6">
        <v>43712</v>
      </c>
      <c r="AD138" s="5" t="s">
        <v>42</v>
      </c>
      <c r="AE138" s="5" t="s">
        <v>956</v>
      </c>
      <c r="AF138" s="5">
        <v>0</v>
      </c>
    </row>
    <row r="139" spans="1:32" x14ac:dyDescent="0.3">
      <c r="A139" s="3">
        <v>133</v>
      </c>
      <c r="B139" s="3" t="str">
        <f>"202000067812"</f>
        <v>202000067812</v>
      </c>
      <c r="C139" s="3" t="str">
        <f>"129020"</f>
        <v>129020</v>
      </c>
      <c r="D139" s="3" t="s">
        <v>961</v>
      </c>
      <c r="E139" s="3">
        <v>20601282187</v>
      </c>
      <c r="F139" s="3" t="s">
        <v>962</v>
      </c>
      <c r="G139" s="3" t="s">
        <v>963</v>
      </c>
      <c r="H139" s="3" t="s">
        <v>798</v>
      </c>
      <c r="I139" s="3" t="s">
        <v>964</v>
      </c>
      <c r="J139" s="3" t="s">
        <v>965</v>
      </c>
      <c r="K139" s="3" t="s">
        <v>37</v>
      </c>
      <c r="L139" s="3" t="s">
        <v>320</v>
      </c>
      <c r="M139" s="3" t="s">
        <v>966</v>
      </c>
      <c r="N139" s="3" t="s">
        <v>78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>
        <v>15000</v>
      </c>
      <c r="AB139" s="3">
        <v>3200</v>
      </c>
      <c r="AC139" s="4">
        <v>44005</v>
      </c>
      <c r="AD139" s="3" t="s">
        <v>42</v>
      </c>
      <c r="AE139" s="3" t="s">
        <v>967</v>
      </c>
      <c r="AF139" s="3">
        <v>240</v>
      </c>
    </row>
    <row r="140" spans="1:32" ht="27.95" x14ac:dyDescent="0.3">
      <c r="A140" s="5">
        <v>134</v>
      </c>
      <c r="B140" s="5" t="str">
        <f>"202000124792"</f>
        <v>202000124792</v>
      </c>
      <c r="C140" s="5" t="str">
        <f>"89012"</f>
        <v>89012</v>
      </c>
      <c r="D140" s="5" t="s">
        <v>968</v>
      </c>
      <c r="E140" s="5">
        <v>20606426411</v>
      </c>
      <c r="F140" s="5" t="s">
        <v>969</v>
      </c>
      <c r="G140" s="5" t="s">
        <v>970</v>
      </c>
      <c r="H140" s="5" t="s">
        <v>638</v>
      </c>
      <c r="I140" s="5" t="s">
        <v>639</v>
      </c>
      <c r="J140" s="5" t="s">
        <v>640</v>
      </c>
      <c r="K140" s="5" t="s">
        <v>37</v>
      </c>
      <c r="L140" s="5" t="s">
        <v>971</v>
      </c>
      <c r="M140" s="5" t="s">
        <v>972</v>
      </c>
      <c r="N140" s="5" t="s">
        <v>972</v>
      </c>
      <c r="O140" s="5" t="s">
        <v>973</v>
      </c>
      <c r="P140" s="5" t="s">
        <v>972</v>
      </c>
      <c r="Q140" s="5" t="s">
        <v>248</v>
      </c>
      <c r="R140" s="5"/>
      <c r="S140" s="5"/>
      <c r="T140" s="5"/>
      <c r="U140" s="5"/>
      <c r="V140" s="5"/>
      <c r="W140" s="5"/>
      <c r="X140" s="5"/>
      <c r="Y140" s="5"/>
      <c r="Z140" s="5"/>
      <c r="AA140" s="5">
        <v>9000</v>
      </c>
      <c r="AB140" s="5">
        <v>3000</v>
      </c>
      <c r="AC140" s="6">
        <v>44099</v>
      </c>
      <c r="AD140" s="5" t="s">
        <v>42</v>
      </c>
      <c r="AE140" s="5" t="s">
        <v>974</v>
      </c>
      <c r="AF140" s="5">
        <v>0</v>
      </c>
    </row>
    <row r="141" spans="1:32" ht="27.95" x14ac:dyDescent="0.3">
      <c r="A141" s="3">
        <v>135</v>
      </c>
      <c r="B141" s="3" t="str">
        <f>"201600131650"</f>
        <v>201600131650</v>
      </c>
      <c r="C141" s="3" t="str">
        <f>"110805"</f>
        <v>110805</v>
      </c>
      <c r="D141" s="3" t="s">
        <v>975</v>
      </c>
      <c r="E141" s="3">
        <v>20601143489</v>
      </c>
      <c r="F141" s="3" t="s">
        <v>976</v>
      </c>
      <c r="G141" s="3" t="s">
        <v>977</v>
      </c>
      <c r="H141" s="3" t="s">
        <v>47</v>
      </c>
      <c r="I141" s="3" t="s">
        <v>47</v>
      </c>
      <c r="J141" s="3" t="s">
        <v>978</v>
      </c>
      <c r="K141" s="3" t="s">
        <v>37</v>
      </c>
      <c r="L141" s="3" t="s">
        <v>387</v>
      </c>
      <c r="M141" s="3" t="s">
        <v>285</v>
      </c>
      <c r="N141" s="3" t="s">
        <v>174</v>
      </c>
      <c r="O141" s="3" t="s">
        <v>171</v>
      </c>
      <c r="P141" s="3" t="s">
        <v>404</v>
      </c>
      <c r="Q141" s="3" t="s">
        <v>979</v>
      </c>
      <c r="R141" s="3"/>
      <c r="S141" s="3"/>
      <c r="T141" s="3"/>
      <c r="U141" s="3"/>
      <c r="V141" s="3"/>
      <c r="W141" s="3"/>
      <c r="X141" s="3"/>
      <c r="Y141" s="3"/>
      <c r="Z141" s="3"/>
      <c r="AA141" s="3">
        <v>25000</v>
      </c>
      <c r="AB141" s="3">
        <v>7000</v>
      </c>
      <c r="AC141" s="4">
        <v>42621</v>
      </c>
      <c r="AD141" s="3" t="s">
        <v>42</v>
      </c>
      <c r="AE141" s="3" t="s">
        <v>980</v>
      </c>
      <c r="AF141" s="3">
        <v>400</v>
      </c>
    </row>
    <row r="142" spans="1:32" ht="41.95" x14ac:dyDescent="0.3">
      <c r="A142" s="5">
        <v>136</v>
      </c>
      <c r="B142" s="5" t="str">
        <f>"201900096771"</f>
        <v>201900096771</v>
      </c>
      <c r="C142" s="5" t="str">
        <f>"82148"</f>
        <v>82148</v>
      </c>
      <c r="D142" s="5" t="s">
        <v>981</v>
      </c>
      <c r="E142" s="5">
        <v>20549233334</v>
      </c>
      <c r="F142" s="5" t="s">
        <v>982</v>
      </c>
      <c r="G142" s="5" t="s">
        <v>983</v>
      </c>
      <c r="H142" s="5" t="s">
        <v>58</v>
      </c>
      <c r="I142" s="5" t="s">
        <v>58</v>
      </c>
      <c r="J142" s="5" t="s">
        <v>545</v>
      </c>
      <c r="K142" s="5" t="s">
        <v>37</v>
      </c>
      <c r="L142" s="5" t="s">
        <v>102</v>
      </c>
      <c r="M142" s="5" t="s">
        <v>678</v>
      </c>
      <c r="N142" s="5" t="s">
        <v>78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>
        <v>9000</v>
      </c>
      <c r="AB142" s="5">
        <v>3200</v>
      </c>
      <c r="AC142" s="6">
        <v>43636</v>
      </c>
      <c r="AD142" s="5" t="s">
        <v>42</v>
      </c>
      <c r="AE142" s="5" t="s">
        <v>984</v>
      </c>
      <c r="AF142" s="5">
        <v>0</v>
      </c>
    </row>
    <row r="143" spans="1:32" ht="27.95" x14ac:dyDescent="0.3">
      <c r="A143" s="3">
        <v>137</v>
      </c>
      <c r="B143" s="3" t="str">
        <f>"201700109927"</f>
        <v>201700109927</v>
      </c>
      <c r="C143" s="3" t="str">
        <f>"128431"</f>
        <v>128431</v>
      </c>
      <c r="D143" s="3" t="s">
        <v>985</v>
      </c>
      <c r="E143" s="3">
        <v>20556005461</v>
      </c>
      <c r="F143" s="3" t="s">
        <v>986</v>
      </c>
      <c r="G143" s="3" t="s">
        <v>987</v>
      </c>
      <c r="H143" s="3" t="s">
        <v>58</v>
      </c>
      <c r="I143" s="3" t="s">
        <v>498</v>
      </c>
      <c r="J143" s="3" t="s">
        <v>988</v>
      </c>
      <c r="K143" s="3" t="s">
        <v>37</v>
      </c>
      <c r="L143" s="3" t="s">
        <v>989</v>
      </c>
      <c r="M143" s="3" t="s">
        <v>990</v>
      </c>
      <c r="N143" s="3" t="s">
        <v>77</v>
      </c>
      <c r="O143" s="3" t="s">
        <v>78</v>
      </c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>
        <v>18000</v>
      </c>
      <c r="AB143" s="3">
        <v>3200</v>
      </c>
      <c r="AC143" s="4">
        <v>42935</v>
      </c>
      <c r="AD143" s="3" t="s">
        <v>42</v>
      </c>
      <c r="AE143" s="3" t="s">
        <v>991</v>
      </c>
      <c r="AF143" s="3">
        <v>0</v>
      </c>
    </row>
    <row r="144" spans="1:32" ht="27.95" x14ac:dyDescent="0.3">
      <c r="A144" s="5">
        <v>138</v>
      </c>
      <c r="B144" s="5" t="str">
        <f>"201600123481"</f>
        <v>201600123481</v>
      </c>
      <c r="C144" s="5" t="str">
        <f>"6891"</f>
        <v>6891</v>
      </c>
      <c r="D144" s="5" t="s">
        <v>992</v>
      </c>
      <c r="E144" s="5">
        <v>20534525070</v>
      </c>
      <c r="F144" s="5" t="s">
        <v>993</v>
      </c>
      <c r="G144" s="5" t="s">
        <v>994</v>
      </c>
      <c r="H144" s="5" t="s">
        <v>47</v>
      </c>
      <c r="I144" s="5" t="s">
        <v>47</v>
      </c>
      <c r="J144" s="5" t="s">
        <v>47</v>
      </c>
      <c r="K144" s="5" t="s">
        <v>37</v>
      </c>
      <c r="L144" s="5" t="s">
        <v>165</v>
      </c>
      <c r="M144" s="5" t="s">
        <v>262</v>
      </c>
      <c r="N144" s="5" t="s">
        <v>174</v>
      </c>
      <c r="O144" s="5" t="s">
        <v>171</v>
      </c>
      <c r="P144" s="5" t="s">
        <v>103</v>
      </c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>
        <v>24000</v>
      </c>
      <c r="AB144" s="5">
        <v>2500</v>
      </c>
      <c r="AC144" s="6">
        <v>42611</v>
      </c>
      <c r="AD144" s="5" t="s">
        <v>42</v>
      </c>
      <c r="AE144" s="5" t="s">
        <v>995</v>
      </c>
      <c r="AF144" s="5">
        <v>0</v>
      </c>
    </row>
    <row r="145" spans="1:32" ht="41.95" x14ac:dyDescent="0.3">
      <c r="A145" s="3">
        <v>139</v>
      </c>
      <c r="B145" s="3" t="str">
        <f>"202000053934"</f>
        <v>202000053934</v>
      </c>
      <c r="C145" s="3" t="str">
        <f>"91405"</f>
        <v>91405</v>
      </c>
      <c r="D145" s="3" t="s">
        <v>996</v>
      </c>
      <c r="E145" s="3">
        <v>20556530977</v>
      </c>
      <c r="F145" s="3" t="s">
        <v>997</v>
      </c>
      <c r="G145" s="3" t="s">
        <v>998</v>
      </c>
      <c r="H145" s="3" t="s">
        <v>999</v>
      </c>
      <c r="I145" s="3" t="s">
        <v>999</v>
      </c>
      <c r="J145" s="3" t="s">
        <v>1000</v>
      </c>
      <c r="K145" s="3" t="s">
        <v>37</v>
      </c>
      <c r="L145" s="3" t="s">
        <v>1001</v>
      </c>
      <c r="M145" s="3" t="s">
        <v>1002</v>
      </c>
      <c r="N145" s="3" t="s">
        <v>154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>
        <v>10000</v>
      </c>
      <c r="AB145" s="3">
        <v>6000</v>
      </c>
      <c r="AC145" s="4">
        <v>43953</v>
      </c>
      <c r="AD145" s="3" t="s">
        <v>42</v>
      </c>
      <c r="AE145" s="3" t="s">
        <v>1003</v>
      </c>
      <c r="AF145" s="3">
        <v>0</v>
      </c>
    </row>
    <row r="146" spans="1:32" ht="27.95" x14ac:dyDescent="0.3">
      <c r="A146" s="5">
        <v>140</v>
      </c>
      <c r="B146" s="5" t="str">
        <f>"201900151826"</f>
        <v>201900151826</v>
      </c>
      <c r="C146" s="5" t="str">
        <f>"7076"</f>
        <v>7076</v>
      </c>
      <c r="D146" s="5" t="s">
        <v>1004</v>
      </c>
      <c r="E146" s="5">
        <v>20600491467</v>
      </c>
      <c r="F146" s="5" t="s">
        <v>1005</v>
      </c>
      <c r="G146" s="5" t="s">
        <v>1006</v>
      </c>
      <c r="H146" s="5" t="s">
        <v>47</v>
      </c>
      <c r="I146" s="5" t="s">
        <v>47</v>
      </c>
      <c r="J146" s="5" t="s">
        <v>47</v>
      </c>
      <c r="K146" s="5" t="s">
        <v>37</v>
      </c>
      <c r="L146" s="5" t="s">
        <v>172</v>
      </c>
      <c r="M146" s="5" t="s">
        <v>1007</v>
      </c>
      <c r="N146" s="5" t="s">
        <v>754</v>
      </c>
      <c r="O146" s="5" t="s">
        <v>1008</v>
      </c>
      <c r="P146" s="5" t="s">
        <v>248</v>
      </c>
      <c r="Q146" s="5" t="s">
        <v>1009</v>
      </c>
      <c r="R146" s="5"/>
      <c r="S146" s="5"/>
      <c r="T146" s="5"/>
      <c r="U146" s="5"/>
      <c r="V146" s="5"/>
      <c r="W146" s="5"/>
      <c r="X146" s="5"/>
      <c r="Y146" s="5"/>
      <c r="Z146" s="5"/>
      <c r="AA146" s="5">
        <v>9500</v>
      </c>
      <c r="AB146" s="5">
        <v>10500</v>
      </c>
      <c r="AC146" s="6">
        <v>43726</v>
      </c>
      <c r="AD146" s="5" t="s">
        <v>42</v>
      </c>
      <c r="AE146" s="5" t="s">
        <v>1010</v>
      </c>
      <c r="AF146" s="5">
        <v>0</v>
      </c>
    </row>
    <row r="147" spans="1:32" ht="27.95" x14ac:dyDescent="0.3">
      <c r="A147" s="3">
        <v>141</v>
      </c>
      <c r="B147" s="3" t="str">
        <f>"201500054105"</f>
        <v>201500054105</v>
      </c>
      <c r="C147" s="3" t="str">
        <f>"109082"</f>
        <v>109082</v>
      </c>
      <c r="D147" s="3" t="s">
        <v>1011</v>
      </c>
      <c r="E147" s="3">
        <v>20571442621</v>
      </c>
      <c r="F147" s="3" t="s">
        <v>1012</v>
      </c>
      <c r="G147" s="3" t="s">
        <v>1013</v>
      </c>
      <c r="H147" s="3" t="s">
        <v>116</v>
      </c>
      <c r="I147" s="3" t="s">
        <v>1014</v>
      </c>
      <c r="J147" s="3" t="s">
        <v>1015</v>
      </c>
      <c r="K147" s="3" t="s">
        <v>37</v>
      </c>
      <c r="L147" s="3" t="s">
        <v>166</v>
      </c>
      <c r="M147" s="3" t="s">
        <v>166</v>
      </c>
      <c r="N147" s="3" t="s">
        <v>1016</v>
      </c>
      <c r="O147" s="3" t="s">
        <v>49</v>
      </c>
      <c r="P147" s="3" t="s">
        <v>94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>
        <v>40000</v>
      </c>
      <c r="AB147" s="3">
        <v>5000</v>
      </c>
      <c r="AC147" s="4">
        <v>42124</v>
      </c>
      <c r="AD147" s="3" t="s">
        <v>42</v>
      </c>
      <c r="AE147" s="3" t="s">
        <v>1017</v>
      </c>
      <c r="AF147" s="3">
        <v>720</v>
      </c>
    </row>
    <row r="148" spans="1:32" ht="27.95" x14ac:dyDescent="0.3">
      <c r="A148" s="5">
        <v>142</v>
      </c>
      <c r="B148" s="5" t="str">
        <f>"201800033555"</f>
        <v>201800033555</v>
      </c>
      <c r="C148" s="5" t="str">
        <f>"124260"</f>
        <v>124260</v>
      </c>
      <c r="D148" s="5" t="s">
        <v>1018</v>
      </c>
      <c r="E148" s="5">
        <v>20563372029</v>
      </c>
      <c r="F148" s="5" t="s">
        <v>1019</v>
      </c>
      <c r="G148" s="5" t="s">
        <v>1020</v>
      </c>
      <c r="H148" s="5" t="s">
        <v>58</v>
      </c>
      <c r="I148" s="5" t="s">
        <v>58</v>
      </c>
      <c r="J148" s="5" t="s">
        <v>99</v>
      </c>
      <c r="K148" s="5" t="s">
        <v>37</v>
      </c>
      <c r="L148" s="5" t="s">
        <v>1021</v>
      </c>
      <c r="M148" s="5" t="s">
        <v>103</v>
      </c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>
        <v>8000</v>
      </c>
      <c r="AB148" s="5">
        <v>2500</v>
      </c>
      <c r="AC148" s="6">
        <v>43158</v>
      </c>
      <c r="AD148" s="5" t="s">
        <v>42</v>
      </c>
      <c r="AE148" s="5" t="s">
        <v>1022</v>
      </c>
      <c r="AF148" s="5">
        <v>0</v>
      </c>
    </row>
    <row r="149" spans="1:32" ht="27.95" x14ac:dyDescent="0.3">
      <c r="A149" s="3">
        <v>143</v>
      </c>
      <c r="B149" s="3" t="str">
        <f>"201300131557"</f>
        <v>201300131557</v>
      </c>
      <c r="C149" s="3" t="str">
        <f>"40437"</f>
        <v>40437</v>
      </c>
      <c r="D149" s="3" t="s">
        <v>1023</v>
      </c>
      <c r="E149" s="3">
        <v>20524280419</v>
      </c>
      <c r="F149" s="3" t="s">
        <v>1024</v>
      </c>
      <c r="G149" s="3" t="s">
        <v>1025</v>
      </c>
      <c r="H149" s="3" t="s">
        <v>58</v>
      </c>
      <c r="I149" s="3" t="s">
        <v>58</v>
      </c>
      <c r="J149" s="3" t="s">
        <v>1026</v>
      </c>
      <c r="K149" s="3" t="s">
        <v>37</v>
      </c>
      <c r="L149" s="3" t="s">
        <v>1027</v>
      </c>
      <c r="M149" s="3" t="s">
        <v>1028</v>
      </c>
      <c r="N149" s="3" t="s">
        <v>1029</v>
      </c>
      <c r="O149" s="3" t="s">
        <v>1028</v>
      </c>
      <c r="P149" s="3" t="s">
        <v>103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>
        <v>19560</v>
      </c>
      <c r="AB149" s="3">
        <v>2500</v>
      </c>
      <c r="AC149" s="4">
        <v>41497</v>
      </c>
      <c r="AD149" s="3" t="s">
        <v>42</v>
      </c>
      <c r="AE149" s="3" t="s">
        <v>1030</v>
      </c>
      <c r="AF149" s="3">
        <v>0</v>
      </c>
    </row>
    <row r="150" spans="1:32" ht="27.95" x14ac:dyDescent="0.3">
      <c r="A150" s="5">
        <v>144</v>
      </c>
      <c r="B150" s="5" t="str">
        <f>"202000046694"</f>
        <v>202000046694</v>
      </c>
      <c r="C150" s="5" t="str">
        <f>"15723"</f>
        <v>15723</v>
      </c>
      <c r="D150" s="5" t="s">
        <v>1031</v>
      </c>
      <c r="E150" s="5">
        <v>20115915828</v>
      </c>
      <c r="F150" s="5" t="s">
        <v>1032</v>
      </c>
      <c r="G150" s="5" t="s">
        <v>1033</v>
      </c>
      <c r="H150" s="5" t="s">
        <v>187</v>
      </c>
      <c r="I150" s="5" t="s">
        <v>187</v>
      </c>
      <c r="J150" s="5" t="s">
        <v>187</v>
      </c>
      <c r="K150" s="5" t="s">
        <v>37</v>
      </c>
      <c r="L150" s="5" t="s">
        <v>161</v>
      </c>
      <c r="M150" s="5" t="s">
        <v>285</v>
      </c>
      <c r="N150" s="5" t="s">
        <v>172</v>
      </c>
      <c r="O150" s="5" t="s">
        <v>76</v>
      </c>
      <c r="P150" s="5" t="s">
        <v>381</v>
      </c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>
        <v>16000</v>
      </c>
      <c r="AB150" s="5">
        <v>2000</v>
      </c>
      <c r="AC150" s="6">
        <v>43907</v>
      </c>
      <c r="AD150" s="5" t="s">
        <v>42</v>
      </c>
      <c r="AE150" s="5" t="s">
        <v>1034</v>
      </c>
      <c r="AF150" s="5">
        <v>720</v>
      </c>
    </row>
    <row r="151" spans="1:32" ht="27.95" x14ac:dyDescent="0.3">
      <c r="A151" s="3">
        <v>145</v>
      </c>
      <c r="B151" s="3" t="str">
        <f>"201900206117"</f>
        <v>201900206117</v>
      </c>
      <c r="C151" s="3" t="str">
        <f>"15400"</f>
        <v>15400</v>
      </c>
      <c r="D151" s="3" t="s">
        <v>1035</v>
      </c>
      <c r="E151" s="3">
        <v>20605571698</v>
      </c>
      <c r="F151" s="3" t="s">
        <v>1036</v>
      </c>
      <c r="G151" s="3" t="s">
        <v>1037</v>
      </c>
      <c r="H151" s="3" t="s">
        <v>47</v>
      </c>
      <c r="I151" s="3" t="s">
        <v>1038</v>
      </c>
      <c r="J151" s="3" t="s">
        <v>1038</v>
      </c>
      <c r="K151" s="3" t="s">
        <v>37</v>
      </c>
      <c r="L151" s="3" t="s">
        <v>1039</v>
      </c>
      <c r="M151" s="3" t="s">
        <v>562</v>
      </c>
      <c r="N151" s="3" t="s">
        <v>102</v>
      </c>
      <c r="O151" s="3" t="s">
        <v>78</v>
      </c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>
        <v>21000</v>
      </c>
      <c r="AB151" s="3">
        <v>3200</v>
      </c>
      <c r="AC151" s="4">
        <v>43814</v>
      </c>
      <c r="AD151" s="3" t="s">
        <v>42</v>
      </c>
      <c r="AE151" s="3" t="s">
        <v>995</v>
      </c>
      <c r="AF151" s="3">
        <v>0</v>
      </c>
    </row>
    <row r="152" spans="1:32" ht="27.95" x14ac:dyDescent="0.3">
      <c r="A152" s="5">
        <v>146</v>
      </c>
      <c r="B152" s="5" t="str">
        <f>"201700125465"</f>
        <v>201700125465</v>
      </c>
      <c r="C152" s="5" t="str">
        <f>"7709"</f>
        <v>7709</v>
      </c>
      <c r="D152" s="5" t="s">
        <v>1040</v>
      </c>
      <c r="E152" s="5">
        <v>10070702075</v>
      </c>
      <c r="F152" s="5" t="s">
        <v>1041</v>
      </c>
      <c r="G152" s="5" t="s">
        <v>1042</v>
      </c>
      <c r="H152" s="5" t="s">
        <v>58</v>
      </c>
      <c r="I152" s="5" t="s">
        <v>58</v>
      </c>
      <c r="J152" s="5" t="s">
        <v>268</v>
      </c>
      <c r="K152" s="5" t="s">
        <v>37</v>
      </c>
      <c r="L152" s="5" t="s">
        <v>1043</v>
      </c>
      <c r="M152" s="5" t="s">
        <v>171</v>
      </c>
      <c r="N152" s="5" t="s">
        <v>1044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>
        <v>16000</v>
      </c>
      <c r="AB152" s="5">
        <v>1500</v>
      </c>
      <c r="AC152" s="6">
        <v>42969</v>
      </c>
      <c r="AD152" s="5" t="s">
        <v>42</v>
      </c>
      <c r="AE152" s="5" t="s">
        <v>1041</v>
      </c>
      <c r="AF152" s="5">
        <v>0</v>
      </c>
    </row>
    <row r="153" spans="1:32" ht="27.95" x14ac:dyDescent="0.3">
      <c r="A153" s="3">
        <v>147</v>
      </c>
      <c r="B153" s="3" t="str">
        <f>"201600088778"</f>
        <v>201600088778</v>
      </c>
      <c r="C153" s="3" t="str">
        <f>"34968"</f>
        <v>34968</v>
      </c>
      <c r="D153" s="3" t="s">
        <v>1045</v>
      </c>
      <c r="E153" s="3">
        <v>20504649386</v>
      </c>
      <c r="F153" s="3" t="s">
        <v>1046</v>
      </c>
      <c r="G153" s="3" t="s">
        <v>1047</v>
      </c>
      <c r="H153" s="3" t="s">
        <v>58</v>
      </c>
      <c r="I153" s="3" t="s">
        <v>373</v>
      </c>
      <c r="J153" s="3" t="s">
        <v>1048</v>
      </c>
      <c r="K153" s="3" t="s">
        <v>37</v>
      </c>
      <c r="L153" s="3" t="s">
        <v>63</v>
      </c>
      <c r="M153" s="3" t="s">
        <v>1049</v>
      </c>
      <c r="N153" s="3" t="s">
        <v>78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>
        <v>12000</v>
      </c>
      <c r="AB153" s="3">
        <v>3200</v>
      </c>
      <c r="AC153" s="4">
        <v>42543</v>
      </c>
      <c r="AD153" s="3" t="s">
        <v>42</v>
      </c>
      <c r="AE153" s="3" t="s">
        <v>1050</v>
      </c>
      <c r="AF153" s="3">
        <v>240</v>
      </c>
    </row>
    <row r="154" spans="1:32" ht="27.95" x14ac:dyDescent="0.3">
      <c r="A154" s="5">
        <v>148</v>
      </c>
      <c r="B154" s="5" t="str">
        <f>"201700129472"</f>
        <v>201700129472</v>
      </c>
      <c r="C154" s="5" t="str">
        <f>"14725"</f>
        <v>14725</v>
      </c>
      <c r="D154" s="5" t="s">
        <v>1051</v>
      </c>
      <c r="E154" s="5">
        <v>20111629758</v>
      </c>
      <c r="F154" s="5" t="s">
        <v>1052</v>
      </c>
      <c r="G154" s="5" t="s">
        <v>1053</v>
      </c>
      <c r="H154" s="5" t="s">
        <v>58</v>
      </c>
      <c r="I154" s="5" t="s">
        <v>58</v>
      </c>
      <c r="J154" s="5" t="s">
        <v>545</v>
      </c>
      <c r="K154" s="5" t="s">
        <v>37</v>
      </c>
      <c r="L154" s="5" t="s">
        <v>555</v>
      </c>
      <c r="M154" s="5" t="s">
        <v>163</v>
      </c>
      <c r="N154" s="5" t="s">
        <v>459</v>
      </c>
      <c r="O154" s="5" t="s">
        <v>103</v>
      </c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>
        <v>16000</v>
      </c>
      <c r="AB154" s="5">
        <v>2500</v>
      </c>
      <c r="AC154" s="6">
        <v>42962</v>
      </c>
      <c r="AD154" s="5" t="s">
        <v>42</v>
      </c>
      <c r="AE154" s="5" t="s">
        <v>1054</v>
      </c>
      <c r="AF154" s="5">
        <v>0</v>
      </c>
    </row>
    <row r="155" spans="1:32" ht="27.95" x14ac:dyDescent="0.3">
      <c r="A155" s="3">
        <v>149</v>
      </c>
      <c r="B155" s="3" t="str">
        <f>"201900170914"</f>
        <v>201900170914</v>
      </c>
      <c r="C155" s="3" t="str">
        <f>"131174"</f>
        <v>131174</v>
      </c>
      <c r="D155" s="3" t="s">
        <v>1055</v>
      </c>
      <c r="E155" s="3">
        <v>20604303029</v>
      </c>
      <c r="F155" s="3" t="s">
        <v>1056</v>
      </c>
      <c r="G155" s="3" t="s">
        <v>1057</v>
      </c>
      <c r="H155" s="3" t="s">
        <v>58</v>
      </c>
      <c r="I155" s="3" t="s">
        <v>58</v>
      </c>
      <c r="J155" s="3" t="s">
        <v>1058</v>
      </c>
      <c r="K155" s="3" t="s">
        <v>37</v>
      </c>
      <c r="L155" s="3" t="s">
        <v>72</v>
      </c>
      <c r="M155" s="3" t="s">
        <v>1059</v>
      </c>
      <c r="N155" s="3" t="s">
        <v>1060</v>
      </c>
      <c r="O155" s="3" t="s">
        <v>66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>
        <v>17000</v>
      </c>
      <c r="AB155" s="3">
        <v>4500</v>
      </c>
      <c r="AC155" s="4">
        <v>43760</v>
      </c>
      <c r="AD155" s="3" t="s">
        <v>42</v>
      </c>
      <c r="AE155" s="3" t="s">
        <v>1061</v>
      </c>
      <c r="AF155" s="3">
        <v>0</v>
      </c>
    </row>
    <row r="156" spans="1:32" ht="27.95" x14ac:dyDescent="0.3">
      <c r="A156" s="5">
        <v>150</v>
      </c>
      <c r="B156" s="5" t="str">
        <f>"201900089849"</f>
        <v>201900089849</v>
      </c>
      <c r="C156" s="5" t="str">
        <f>"133282"</f>
        <v>133282</v>
      </c>
      <c r="D156" s="5" t="s">
        <v>1062</v>
      </c>
      <c r="E156" s="5">
        <v>20601474906</v>
      </c>
      <c r="F156" s="5" t="s">
        <v>1063</v>
      </c>
      <c r="G156" s="5" t="s">
        <v>1064</v>
      </c>
      <c r="H156" s="5" t="s">
        <v>219</v>
      </c>
      <c r="I156" s="5" t="s">
        <v>220</v>
      </c>
      <c r="J156" s="5" t="s">
        <v>458</v>
      </c>
      <c r="K156" s="5" t="s">
        <v>37</v>
      </c>
      <c r="L156" s="5" t="s">
        <v>1065</v>
      </c>
      <c r="M156" s="5" t="s">
        <v>1066</v>
      </c>
      <c r="N156" s="5" t="s">
        <v>103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5700</v>
      </c>
      <c r="AB156" s="5">
        <v>2500</v>
      </c>
      <c r="AC156" s="6">
        <v>43657</v>
      </c>
      <c r="AD156" s="5" t="s">
        <v>42</v>
      </c>
      <c r="AE156" s="5" t="s">
        <v>1067</v>
      </c>
      <c r="AF156" s="5">
        <v>720</v>
      </c>
    </row>
    <row r="157" spans="1:32" ht="27.95" x14ac:dyDescent="0.3">
      <c r="A157" s="3">
        <v>151</v>
      </c>
      <c r="B157" s="3" t="str">
        <f>"202000056598"</f>
        <v>202000056598</v>
      </c>
      <c r="C157" s="3" t="str">
        <f>"146354"</f>
        <v>146354</v>
      </c>
      <c r="D157" s="3" t="s">
        <v>1068</v>
      </c>
      <c r="E157" s="3">
        <v>20605141723</v>
      </c>
      <c r="F157" s="3" t="s">
        <v>1069</v>
      </c>
      <c r="G157" s="3" t="s">
        <v>1070</v>
      </c>
      <c r="H157" s="3" t="s">
        <v>187</v>
      </c>
      <c r="I157" s="3" t="s">
        <v>187</v>
      </c>
      <c r="J157" s="3" t="s">
        <v>188</v>
      </c>
      <c r="K157" s="3" t="s">
        <v>37</v>
      </c>
      <c r="L157" s="3" t="s">
        <v>1071</v>
      </c>
      <c r="M157" s="3" t="s">
        <v>1072</v>
      </c>
      <c r="N157" s="3" t="s">
        <v>555</v>
      </c>
      <c r="O157" s="3" t="s">
        <v>166</v>
      </c>
      <c r="P157" s="3" t="s">
        <v>166</v>
      </c>
      <c r="Q157" s="3" t="s">
        <v>166</v>
      </c>
      <c r="R157" s="3" t="s">
        <v>248</v>
      </c>
      <c r="S157" s="3"/>
      <c r="T157" s="3"/>
      <c r="U157" s="3"/>
      <c r="V157" s="3"/>
      <c r="W157" s="3"/>
      <c r="X157" s="3"/>
      <c r="Y157" s="3"/>
      <c r="Z157" s="3"/>
      <c r="AA157" s="3">
        <v>41330</v>
      </c>
      <c r="AB157" s="3">
        <v>3000</v>
      </c>
      <c r="AC157" s="4">
        <v>43970</v>
      </c>
      <c r="AD157" s="3" t="s">
        <v>42</v>
      </c>
      <c r="AE157" s="3" t="s">
        <v>1073</v>
      </c>
      <c r="AF157" s="3">
        <v>720</v>
      </c>
    </row>
    <row r="158" spans="1:32" ht="27.95" x14ac:dyDescent="0.3">
      <c r="A158" s="5">
        <v>152</v>
      </c>
      <c r="B158" s="5" t="str">
        <f>"201900175176"</f>
        <v>201900175176</v>
      </c>
      <c r="C158" s="5" t="str">
        <f>"147364"</f>
        <v>147364</v>
      </c>
      <c r="D158" s="5" t="s">
        <v>1074</v>
      </c>
      <c r="E158" s="5">
        <v>20494399386</v>
      </c>
      <c r="F158" s="5" t="s">
        <v>1075</v>
      </c>
      <c r="G158" s="5" t="s">
        <v>1076</v>
      </c>
      <c r="H158" s="5" t="s">
        <v>798</v>
      </c>
      <c r="I158" s="5" t="s">
        <v>964</v>
      </c>
      <c r="J158" s="5" t="s">
        <v>1077</v>
      </c>
      <c r="K158" s="5" t="s">
        <v>37</v>
      </c>
      <c r="L158" s="5" t="s">
        <v>166</v>
      </c>
      <c r="M158" s="5" t="s">
        <v>166</v>
      </c>
      <c r="N158" s="5" t="s">
        <v>232</v>
      </c>
      <c r="O158" s="5" t="s">
        <v>1078</v>
      </c>
      <c r="P158" s="5" t="s">
        <v>94</v>
      </c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>
        <v>40000</v>
      </c>
      <c r="AB158" s="5">
        <v>5000</v>
      </c>
      <c r="AC158" s="6">
        <v>43788</v>
      </c>
      <c r="AD158" s="5" t="s">
        <v>42</v>
      </c>
      <c r="AE158" s="5" t="s">
        <v>1079</v>
      </c>
      <c r="AF158" s="5">
        <v>0</v>
      </c>
    </row>
    <row r="159" spans="1:32" ht="27.95" x14ac:dyDescent="0.3">
      <c r="A159" s="3">
        <v>153</v>
      </c>
      <c r="B159" s="3" t="str">
        <f>"201500052295"</f>
        <v>201500052295</v>
      </c>
      <c r="C159" s="3" t="str">
        <f>"99534"</f>
        <v>99534</v>
      </c>
      <c r="D159" s="3" t="s">
        <v>1080</v>
      </c>
      <c r="E159" s="3">
        <v>20486107902</v>
      </c>
      <c r="F159" s="3" t="s">
        <v>1081</v>
      </c>
      <c r="G159" s="3" t="s">
        <v>1082</v>
      </c>
      <c r="H159" s="3" t="s">
        <v>58</v>
      </c>
      <c r="I159" s="3" t="s">
        <v>58</v>
      </c>
      <c r="J159" s="3" t="s">
        <v>71</v>
      </c>
      <c r="K159" s="3" t="s">
        <v>37</v>
      </c>
      <c r="L159" s="3" t="s">
        <v>102</v>
      </c>
      <c r="M159" s="3" t="s">
        <v>743</v>
      </c>
      <c r="N159" s="3" t="s">
        <v>50</v>
      </c>
      <c r="O159" s="3" t="s">
        <v>51</v>
      </c>
      <c r="P159" s="3" t="s">
        <v>78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>
        <v>28200</v>
      </c>
      <c r="AB159" s="3">
        <v>3200</v>
      </c>
      <c r="AC159" s="4">
        <v>42122</v>
      </c>
      <c r="AD159" s="3" t="s">
        <v>42</v>
      </c>
      <c r="AE159" s="3" t="s">
        <v>1083</v>
      </c>
      <c r="AF159" s="3">
        <v>0</v>
      </c>
    </row>
    <row r="160" spans="1:32" ht="27.95" x14ac:dyDescent="0.3">
      <c r="A160" s="5">
        <v>154</v>
      </c>
      <c r="B160" s="5" t="str">
        <f>"201400106018"</f>
        <v>201400106018</v>
      </c>
      <c r="C160" s="5" t="str">
        <f>"97272"</f>
        <v>97272</v>
      </c>
      <c r="D160" s="5" t="s">
        <v>1084</v>
      </c>
      <c r="E160" s="5">
        <v>20568203888</v>
      </c>
      <c r="F160" s="5" t="s">
        <v>1085</v>
      </c>
      <c r="G160" s="5" t="s">
        <v>1086</v>
      </c>
      <c r="H160" s="5" t="s">
        <v>108</v>
      </c>
      <c r="I160" s="5" t="s">
        <v>109</v>
      </c>
      <c r="J160" s="5" t="s">
        <v>109</v>
      </c>
      <c r="K160" s="5" t="s">
        <v>37</v>
      </c>
      <c r="L160" s="5" t="s">
        <v>477</v>
      </c>
      <c r="M160" s="5" t="s">
        <v>1087</v>
      </c>
      <c r="N160" s="5" t="s">
        <v>94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>
        <v>11600</v>
      </c>
      <c r="AB160" s="5">
        <v>5000</v>
      </c>
      <c r="AC160" s="6">
        <v>41907</v>
      </c>
      <c r="AD160" s="5" t="s">
        <v>42</v>
      </c>
      <c r="AE160" s="5" t="s">
        <v>1088</v>
      </c>
      <c r="AF160" s="5">
        <v>0</v>
      </c>
    </row>
    <row r="161" spans="1:32" ht="27.95" x14ac:dyDescent="0.3">
      <c r="A161" s="3">
        <v>155</v>
      </c>
      <c r="B161" s="3" t="str">
        <f>"201900006186"</f>
        <v>201900006186</v>
      </c>
      <c r="C161" s="3" t="str">
        <f>"17952"</f>
        <v>17952</v>
      </c>
      <c r="D161" s="3" t="s">
        <v>1089</v>
      </c>
      <c r="E161" s="3">
        <v>20512081372</v>
      </c>
      <c r="F161" s="3" t="s">
        <v>229</v>
      </c>
      <c r="G161" s="3" t="s">
        <v>1090</v>
      </c>
      <c r="H161" s="3" t="s">
        <v>58</v>
      </c>
      <c r="I161" s="3" t="s">
        <v>58</v>
      </c>
      <c r="J161" s="3" t="s">
        <v>1091</v>
      </c>
      <c r="K161" s="3" t="s">
        <v>37</v>
      </c>
      <c r="L161" s="3" t="s">
        <v>166</v>
      </c>
      <c r="M161" s="3" t="s">
        <v>166</v>
      </c>
      <c r="N161" s="3" t="s">
        <v>232</v>
      </c>
      <c r="O161" s="3" t="s">
        <v>1092</v>
      </c>
      <c r="P161" s="3" t="s">
        <v>50</v>
      </c>
      <c r="Q161" s="3" t="s">
        <v>743</v>
      </c>
      <c r="R161" s="3" t="s">
        <v>166</v>
      </c>
      <c r="S161" s="3" t="s">
        <v>1093</v>
      </c>
      <c r="T161" s="3" t="s">
        <v>1094</v>
      </c>
      <c r="U161" s="3" t="s">
        <v>248</v>
      </c>
      <c r="V161" s="3"/>
      <c r="W161" s="3"/>
      <c r="X161" s="3"/>
      <c r="Y161" s="3"/>
      <c r="Z161" s="3"/>
      <c r="AA161" s="3">
        <v>71852</v>
      </c>
      <c r="AB161" s="3">
        <v>3000</v>
      </c>
      <c r="AC161" s="4">
        <v>43486</v>
      </c>
      <c r="AD161" s="3" t="s">
        <v>42</v>
      </c>
      <c r="AE161" s="3" t="s">
        <v>234</v>
      </c>
      <c r="AF161" s="3">
        <v>480</v>
      </c>
    </row>
    <row r="162" spans="1:32" ht="27.95" x14ac:dyDescent="0.3">
      <c r="A162" s="5">
        <v>156</v>
      </c>
      <c r="B162" s="5" t="str">
        <f>"201800083076"</f>
        <v>201800083076</v>
      </c>
      <c r="C162" s="5" t="str">
        <f>"105845"</f>
        <v>105845</v>
      </c>
      <c r="D162" s="5" t="s">
        <v>1095</v>
      </c>
      <c r="E162" s="5">
        <v>10316004089</v>
      </c>
      <c r="F162" s="5" t="s">
        <v>1096</v>
      </c>
      <c r="G162" s="5" t="s">
        <v>1097</v>
      </c>
      <c r="H162" s="5" t="s">
        <v>116</v>
      </c>
      <c r="I162" s="5" t="s">
        <v>117</v>
      </c>
      <c r="J162" s="5" t="s">
        <v>117</v>
      </c>
      <c r="K162" s="5" t="s">
        <v>37</v>
      </c>
      <c r="L162" s="5" t="s">
        <v>1098</v>
      </c>
      <c r="M162" s="5" t="s">
        <v>387</v>
      </c>
      <c r="N162" s="5" t="s">
        <v>94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>
        <v>14000</v>
      </c>
      <c r="AB162" s="5">
        <v>5000</v>
      </c>
      <c r="AC162" s="6">
        <v>43241</v>
      </c>
      <c r="AD162" s="5" t="s">
        <v>42</v>
      </c>
      <c r="AE162" s="5" t="s">
        <v>1096</v>
      </c>
      <c r="AF162" s="5">
        <v>720</v>
      </c>
    </row>
    <row r="163" spans="1:32" ht="27.95" x14ac:dyDescent="0.3">
      <c r="A163" s="3">
        <v>157</v>
      </c>
      <c r="B163" s="3" t="str">
        <f>"201800203367"</f>
        <v>201800203367</v>
      </c>
      <c r="C163" s="3" t="str">
        <f>"92272"</f>
        <v>92272</v>
      </c>
      <c r="D163" s="3" t="s">
        <v>1099</v>
      </c>
      <c r="E163" s="3">
        <v>20516672120</v>
      </c>
      <c r="F163" s="3" t="s">
        <v>1100</v>
      </c>
      <c r="G163" s="3" t="s">
        <v>1101</v>
      </c>
      <c r="H163" s="3" t="s">
        <v>58</v>
      </c>
      <c r="I163" s="3" t="s">
        <v>58</v>
      </c>
      <c r="J163" s="3" t="s">
        <v>410</v>
      </c>
      <c r="K163" s="3" t="s">
        <v>37</v>
      </c>
      <c r="L163" s="3" t="s">
        <v>1102</v>
      </c>
      <c r="M163" s="3" t="s">
        <v>1103</v>
      </c>
      <c r="N163" s="3" t="s">
        <v>120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>
        <v>12000</v>
      </c>
      <c r="AB163" s="3">
        <v>3500</v>
      </c>
      <c r="AC163" s="4">
        <v>43458</v>
      </c>
      <c r="AD163" s="3" t="s">
        <v>42</v>
      </c>
      <c r="AE163" s="3" t="s">
        <v>1104</v>
      </c>
      <c r="AF163" s="3">
        <v>0</v>
      </c>
    </row>
    <row r="164" spans="1:32" ht="27.95" x14ac:dyDescent="0.3">
      <c r="A164" s="5">
        <v>158</v>
      </c>
      <c r="B164" s="5" t="str">
        <f>"201900143947"</f>
        <v>201900143947</v>
      </c>
      <c r="C164" s="5" t="str">
        <f>"9446"</f>
        <v>9446</v>
      </c>
      <c r="D164" s="5" t="s">
        <v>1105</v>
      </c>
      <c r="E164" s="5">
        <v>20513679875</v>
      </c>
      <c r="F164" s="5" t="s">
        <v>1106</v>
      </c>
      <c r="G164" s="5" t="s">
        <v>1107</v>
      </c>
      <c r="H164" s="5" t="s">
        <v>58</v>
      </c>
      <c r="I164" s="5" t="s">
        <v>1108</v>
      </c>
      <c r="J164" s="5" t="s">
        <v>1109</v>
      </c>
      <c r="K164" s="5" t="s">
        <v>37</v>
      </c>
      <c r="L164" s="5" t="s">
        <v>1110</v>
      </c>
      <c r="M164" s="5" t="s">
        <v>63</v>
      </c>
      <c r="N164" s="5" t="s">
        <v>63</v>
      </c>
      <c r="O164" s="5" t="s">
        <v>74</v>
      </c>
      <c r="P164" s="5" t="s">
        <v>1111</v>
      </c>
      <c r="Q164" s="5" t="s">
        <v>1112</v>
      </c>
      <c r="R164" s="5" t="s">
        <v>103</v>
      </c>
      <c r="S164" s="5"/>
      <c r="T164" s="5"/>
      <c r="U164" s="5"/>
      <c r="V164" s="5"/>
      <c r="W164" s="5"/>
      <c r="X164" s="5"/>
      <c r="Y164" s="5"/>
      <c r="Z164" s="5"/>
      <c r="AA164" s="5">
        <v>24500</v>
      </c>
      <c r="AB164" s="5">
        <v>2500</v>
      </c>
      <c r="AC164" s="6">
        <v>43717</v>
      </c>
      <c r="AD164" s="5" t="s">
        <v>42</v>
      </c>
      <c r="AE164" s="5" t="s">
        <v>1113</v>
      </c>
      <c r="AF164" s="5">
        <v>720</v>
      </c>
    </row>
    <row r="165" spans="1:32" ht="27.95" x14ac:dyDescent="0.3">
      <c r="A165" s="3">
        <v>159</v>
      </c>
      <c r="B165" s="3" t="str">
        <f>"202000100423"</f>
        <v>202000100423</v>
      </c>
      <c r="C165" s="3" t="str">
        <f>"7467"</f>
        <v>7467</v>
      </c>
      <c r="D165" s="3" t="s">
        <v>1114</v>
      </c>
      <c r="E165" s="3">
        <v>20127765279</v>
      </c>
      <c r="F165" s="3" t="s">
        <v>1115</v>
      </c>
      <c r="G165" s="3" t="s">
        <v>1116</v>
      </c>
      <c r="H165" s="3" t="s">
        <v>58</v>
      </c>
      <c r="I165" s="3" t="s">
        <v>1108</v>
      </c>
      <c r="J165" s="3" t="s">
        <v>1117</v>
      </c>
      <c r="K165" s="3" t="s">
        <v>37</v>
      </c>
      <c r="L165" s="3" t="s">
        <v>959</v>
      </c>
      <c r="M165" s="3" t="s">
        <v>72</v>
      </c>
      <c r="N165" s="3" t="s">
        <v>847</v>
      </c>
      <c r="O165" s="3" t="s">
        <v>1118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>
        <v>20000</v>
      </c>
      <c r="AB165" s="3">
        <v>3700</v>
      </c>
      <c r="AC165" s="4">
        <v>44053</v>
      </c>
      <c r="AD165" s="3" t="s">
        <v>42</v>
      </c>
      <c r="AE165" s="3" t="s">
        <v>279</v>
      </c>
      <c r="AF165" s="3">
        <v>0</v>
      </c>
    </row>
    <row r="166" spans="1:32" ht="27.95" x14ac:dyDescent="0.3">
      <c r="A166" s="5">
        <v>160</v>
      </c>
      <c r="B166" s="5" t="str">
        <f>"201600016991"</f>
        <v>201600016991</v>
      </c>
      <c r="C166" s="5" t="str">
        <f>"107602"</f>
        <v>107602</v>
      </c>
      <c r="D166" s="5" t="s">
        <v>1119</v>
      </c>
      <c r="E166" s="5">
        <v>20514739065</v>
      </c>
      <c r="F166" s="5" t="s">
        <v>1120</v>
      </c>
      <c r="G166" s="5" t="s">
        <v>1121</v>
      </c>
      <c r="H166" s="5" t="s">
        <v>58</v>
      </c>
      <c r="I166" s="5" t="s">
        <v>58</v>
      </c>
      <c r="J166" s="5" t="s">
        <v>1058</v>
      </c>
      <c r="K166" s="5" t="s">
        <v>37</v>
      </c>
      <c r="L166" s="5" t="s">
        <v>1122</v>
      </c>
      <c r="M166" s="5" t="s">
        <v>1123</v>
      </c>
      <c r="N166" s="5" t="s">
        <v>347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>
        <v>19009</v>
      </c>
      <c r="AB166" s="5">
        <v>3100</v>
      </c>
      <c r="AC166" s="6">
        <v>42424</v>
      </c>
      <c r="AD166" s="5" t="s">
        <v>42</v>
      </c>
      <c r="AE166" s="5" t="s">
        <v>1124</v>
      </c>
      <c r="AF166" s="5">
        <v>0</v>
      </c>
    </row>
    <row r="167" spans="1:32" ht="27.95" x14ac:dyDescent="0.3">
      <c r="A167" s="3">
        <v>161</v>
      </c>
      <c r="B167" s="3" t="str">
        <f>"201900147801"</f>
        <v>201900147801</v>
      </c>
      <c r="C167" s="3" t="str">
        <f>"143131"</f>
        <v>143131</v>
      </c>
      <c r="D167" s="3" t="s">
        <v>1125</v>
      </c>
      <c r="E167" s="3">
        <v>20354091659</v>
      </c>
      <c r="F167" s="3" t="s">
        <v>1126</v>
      </c>
      <c r="G167" s="3" t="s">
        <v>1127</v>
      </c>
      <c r="H167" s="3" t="s">
        <v>219</v>
      </c>
      <c r="I167" s="3" t="s">
        <v>220</v>
      </c>
      <c r="J167" s="3" t="s">
        <v>458</v>
      </c>
      <c r="K167" s="3" t="s">
        <v>37</v>
      </c>
      <c r="L167" s="3" t="s">
        <v>1128</v>
      </c>
      <c r="M167" s="3" t="s">
        <v>525</v>
      </c>
      <c r="N167" s="3" t="s">
        <v>212</v>
      </c>
      <c r="O167" s="3" t="s">
        <v>94</v>
      </c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>
        <v>11340</v>
      </c>
      <c r="AB167" s="3">
        <v>5000</v>
      </c>
      <c r="AC167" s="4">
        <v>43719</v>
      </c>
      <c r="AD167" s="3" t="s">
        <v>42</v>
      </c>
      <c r="AE167" s="3" t="s">
        <v>1129</v>
      </c>
      <c r="AF167" s="3">
        <v>0</v>
      </c>
    </row>
    <row r="168" spans="1:32" x14ac:dyDescent="0.3">
      <c r="A168" s="5">
        <v>162</v>
      </c>
      <c r="B168" s="5" t="str">
        <f>"201900046283"</f>
        <v>201900046283</v>
      </c>
      <c r="C168" s="5" t="str">
        <f>"9105"</f>
        <v>9105</v>
      </c>
      <c r="D168" s="5" t="s">
        <v>1130</v>
      </c>
      <c r="E168" s="5">
        <v>20600931394</v>
      </c>
      <c r="F168" s="5" t="s">
        <v>1131</v>
      </c>
      <c r="G168" s="5" t="s">
        <v>1132</v>
      </c>
      <c r="H168" s="5" t="s">
        <v>935</v>
      </c>
      <c r="I168" s="5" t="s">
        <v>1133</v>
      </c>
      <c r="J168" s="5" t="s">
        <v>1133</v>
      </c>
      <c r="K168" s="5" t="s">
        <v>37</v>
      </c>
      <c r="L168" s="5" t="s">
        <v>1134</v>
      </c>
      <c r="M168" s="5" t="s">
        <v>1135</v>
      </c>
      <c r="N168" s="5" t="s">
        <v>1136</v>
      </c>
      <c r="O168" s="5" t="s">
        <v>1137</v>
      </c>
      <c r="P168" s="5" t="s">
        <v>390</v>
      </c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14650</v>
      </c>
      <c r="AB168" s="5">
        <v>5200</v>
      </c>
      <c r="AC168" s="6">
        <v>43551</v>
      </c>
      <c r="AD168" s="5" t="s">
        <v>42</v>
      </c>
      <c r="AE168" s="5" t="s">
        <v>1138</v>
      </c>
      <c r="AF168" s="5">
        <v>0</v>
      </c>
    </row>
    <row r="169" spans="1:32" ht="27.95" x14ac:dyDescent="0.3">
      <c r="A169" s="3">
        <v>163</v>
      </c>
      <c r="B169" s="3" t="str">
        <f>"201600116601"</f>
        <v>201600116601</v>
      </c>
      <c r="C169" s="3" t="str">
        <f>"19920"</f>
        <v>19920</v>
      </c>
      <c r="D169" s="3" t="s">
        <v>1139</v>
      </c>
      <c r="E169" s="3">
        <v>20439919818</v>
      </c>
      <c r="F169" s="3" t="s">
        <v>1140</v>
      </c>
      <c r="G169" s="3" t="s">
        <v>1141</v>
      </c>
      <c r="H169" s="3" t="s">
        <v>219</v>
      </c>
      <c r="I169" s="3" t="s">
        <v>220</v>
      </c>
      <c r="J169" s="3" t="s">
        <v>220</v>
      </c>
      <c r="K169" s="3" t="s">
        <v>37</v>
      </c>
      <c r="L169" s="3" t="s">
        <v>1142</v>
      </c>
      <c r="M169" s="3" t="s">
        <v>285</v>
      </c>
      <c r="N169" s="3" t="s">
        <v>380</v>
      </c>
      <c r="O169" s="3" t="s">
        <v>1143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>
        <v>20000</v>
      </c>
      <c r="AB169" s="3">
        <v>3300</v>
      </c>
      <c r="AC169" s="4">
        <v>42597</v>
      </c>
      <c r="AD169" s="3" t="s">
        <v>42</v>
      </c>
      <c r="AE169" s="3" t="s">
        <v>1144</v>
      </c>
      <c r="AF169" s="3">
        <v>0</v>
      </c>
    </row>
    <row r="170" spans="1:32" ht="27.95" x14ac:dyDescent="0.3">
      <c r="A170" s="5">
        <v>164</v>
      </c>
      <c r="B170" s="5" t="str">
        <f>"201500129272"</f>
        <v>201500129272</v>
      </c>
      <c r="C170" s="5" t="str">
        <f>"39945"</f>
        <v>39945</v>
      </c>
      <c r="D170" s="5" t="s">
        <v>1145</v>
      </c>
      <c r="E170" s="5">
        <v>20536053621</v>
      </c>
      <c r="F170" s="5" t="s">
        <v>1146</v>
      </c>
      <c r="G170" s="5" t="s">
        <v>1147</v>
      </c>
      <c r="H170" s="5" t="s">
        <v>219</v>
      </c>
      <c r="I170" s="5" t="s">
        <v>220</v>
      </c>
      <c r="J170" s="5" t="s">
        <v>458</v>
      </c>
      <c r="K170" s="5" t="s">
        <v>37</v>
      </c>
      <c r="L170" s="5" t="s">
        <v>950</v>
      </c>
      <c r="M170" s="5" t="s">
        <v>1148</v>
      </c>
      <c r="N170" s="5" t="s">
        <v>73</v>
      </c>
      <c r="O170" s="5" t="s">
        <v>174</v>
      </c>
      <c r="P170" s="5" t="s">
        <v>94</v>
      </c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>
        <v>23100</v>
      </c>
      <c r="AB170" s="5">
        <v>5000</v>
      </c>
      <c r="AC170" s="6">
        <v>42289</v>
      </c>
      <c r="AD170" s="5" t="s">
        <v>42</v>
      </c>
      <c r="AE170" s="5" t="s">
        <v>1149</v>
      </c>
      <c r="AF170" s="5">
        <v>0</v>
      </c>
    </row>
    <row r="171" spans="1:32" x14ac:dyDescent="0.3">
      <c r="A171" s="3">
        <v>165</v>
      </c>
      <c r="B171" s="3" t="str">
        <f>"201900173552"</f>
        <v>201900173552</v>
      </c>
      <c r="C171" s="3" t="str">
        <f>"8849"</f>
        <v>8849</v>
      </c>
      <c r="D171" s="3" t="s">
        <v>1150</v>
      </c>
      <c r="E171" s="3">
        <v>20602115217</v>
      </c>
      <c r="F171" s="3" t="s">
        <v>1151</v>
      </c>
      <c r="G171" s="3" t="s">
        <v>1152</v>
      </c>
      <c r="H171" s="3" t="s">
        <v>36</v>
      </c>
      <c r="I171" s="3" t="s">
        <v>409</v>
      </c>
      <c r="J171" s="3" t="s">
        <v>409</v>
      </c>
      <c r="K171" s="3" t="s">
        <v>37</v>
      </c>
      <c r="L171" s="3" t="s">
        <v>1153</v>
      </c>
      <c r="M171" s="3" t="s">
        <v>127</v>
      </c>
      <c r="N171" s="3" t="s">
        <v>127</v>
      </c>
      <c r="O171" s="3" t="s">
        <v>127</v>
      </c>
      <c r="P171" s="3" t="s">
        <v>1154</v>
      </c>
      <c r="Q171" s="3" t="s">
        <v>128</v>
      </c>
      <c r="R171" s="3" t="s">
        <v>94</v>
      </c>
      <c r="S171" s="3"/>
      <c r="T171" s="3"/>
      <c r="U171" s="3"/>
      <c r="V171" s="3"/>
      <c r="W171" s="3"/>
      <c r="X171" s="3"/>
      <c r="Y171" s="3"/>
      <c r="Z171" s="3"/>
      <c r="AA171" s="3">
        <v>25000</v>
      </c>
      <c r="AB171" s="3">
        <v>5000</v>
      </c>
      <c r="AC171" s="4">
        <v>43775</v>
      </c>
      <c r="AD171" s="3" t="s">
        <v>42</v>
      </c>
      <c r="AE171" s="3" t="s">
        <v>1155</v>
      </c>
      <c r="AF171" s="3">
        <v>720</v>
      </c>
    </row>
    <row r="172" spans="1:32" ht="27.95" x14ac:dyDescent="0.3">
      <c r="A172" s="5">
        <v>166</v>
      </c>
      <c r="B172" s="5" t="str">
        <f>"201700149175"</f>
        <v>201700149175</v>
      </c>
      <c r="C172" s="5" t="str">
        <f>"131785"</f>
        <v>131785</v>
      </c>
      <c r="D172" s="5" t="s">
        <v>1156</v>
      </c>
      <c r="E172" s="5">
        <v>10102826588</v>
      </c>
      <c r="F172" s="5" t="s">
        <v>1157</v>
      </c>
      <c r="G172" s="5" t="s">
        <v>1158</v>
      </c>
      <c r="H172" s="5" t="s">
        <v>125</v>
      </c>
      <c r="I172" s="5" t="s">
        <v>125</v>
      </c>
      <c r="J172" s="5" t="s">
        <v>1159</v>
      </c>
      <c r="K172" s="5" t="s">
        <v>37</v>
      </c>
      <c r="L172" s="5" t="s">
        <v>63</v>
      </c>
      <c r="M172" s="5" t="s">
        <v>161</v>
      </c>
      <c r="N172" s="5" t="s">
        <v>847</v>
      </c>
      <c r="O172" s="5" t="s">
        <v>54</v>
      </c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>
        <v>18000</v>
      </c>
      <c r="AB172" s="5">
        <v>4000</v>
      </c>
      <c r="AC172" s="6">
        <v>42998</v>
      </c>
      <c r="AD172" s="5" t="s">
        <v>42</v>
      </c>
      <c r="AE172" s="5" t="s">
        <v>1157</v>
      </c>
      <c r="AF172" s="5">
        <v>0</v>
      </c>
    </row>
    <row r="173" spans="1:32" x14ac:dyDescent="0.3">
      <c r="A173" s="3">
        <v>167</v>
      </c>
      <c r="B173" s="3" t="str">
        <f>"201900133240"</f>
        <v>201900133240</v>
      </c>
      <c r="C173" s="3" t="str">
        <f>"8851"</f>
        <v>8851</v>
      </c>
      <c r="D173" s="3" t="s">
        <v>1160</v>
      </c>
      <c r="E173" s="3">
        <v>20605040579</v>
      </c>
      <c r="F173" s="3" t="s">
        <v>1161</v>
      </c>
      <c r="G173" s="3" t="s">
        <v>1162</v>
      </c>
      <c r="H173" s="3" t="s">
        <v>47</v>
      </c>
      <c r="I173" s="3" t="s">
        <v>47</v>
      </c>
      <c r="J173" s="3" t="s">
        <v>83</v>
      </c>
      <c r="K173" s="3" t="s">
        <v>37</v>
      </c>
      <c r="L173" s="3" t="s">
        <v>238</v>
      </c>
      <c r="M173" s="3" t="s">
        <v>296</v>
      </c>
      <c r="N173" s="3" t="s">
        <v>1163</v>
      </c>
      <c r="O173" s="3" t="s">
        <v>1163</v>
      </c>
      <c r="P173" s="3" t="s">
        <v>78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>
        <v>8000</v>
      </c>
      <c r="AB173" s="3">
        <v>3200</v>
      </c>
      <c r="AC173" s="4">
        <v>43692</v>
      </c>
      <c r="AD173" s="3" t="s">
        <v>42</v>
      </c>
      <c r="AE173" s="3" t="s">
        <v>1164</v>
      </c>
      <c r="AF173" s="3">
        <v>0</v>
      </c>
    </row>
    <row r="174" spans="1:32" ht="27.95" x14ac:dyDescent="0.3">
      <c r="A174" s="5">
        <v>168</v>
      </c>
      <c r="B174" s="5" t="str">
        <f>"201600109837"</f>
        <v>201600109837</v>
      </c>
      <c r="C174" s="5" t="str">
        <f>"7834"</f>
        <v>7834</v>
      </c>
      <c r="D174" s="5" t="s">
        <v>1165</v>
      </c>
      <c r="E174" s="5">
        <v>20542134926</v>
      </c>
      <c r="F174" s="5" t="s">
        <v>1166</v>
      </c>
      <c r="G174" s="5" t="s">
        <v>1167</v>
      </c>
      <c r="H174" s="5" t="s">
        <v>116</v>
      </c>
      <c r="I174" s="5" t="s">
        <v>1168</v>
      </c>
      <c r="J174" s="5" t="s">
        <v>1168</v>
      </c>
      <c r="K174" s="5" t="s">
        <v>37</v>
      </c>
      <c r="L174" s="5" t="s">
        <v>1169</v>
      </c>
      <c r="M174" s="5" t="s">
        <v>128</v>
      </c>
      <c r="N174" s="5" t="s">
        <v>1170</v>
      </c>
      <c r="O174" s="5" t="s">
        <v>1171</v>
      </c>
      <c r="P174" s="5" t="s">
        <v>459</v>
      </c>
      <c r="Q174" s="5" t="s">
        <v>94</v>
      </c>
      <c r="R174" s="5"/>
      <c r="S174" s="5"/>
      <c r="T174" s="5"/>
      <c r="U174" s="5"/>
      <c r="V174" s="5"/>
      <c r="W174" s="5"/>
      <c r="X174" s="5"/>
      <c r="Y174" s="5"/>
      <c r="Z174" s="5"/>
      <c r="AA174" s="5">
        <v>21000</v>
      </c>
      <c r="AB174" s="5">
        <v>5000</v>
      </c>
      <c r="AC174" s="6">
        <v>42586</v>
      </c>
      <c r="AD174" s="5" t="s">
        <v>42</v>
      </c>
      <c r="AE174" s="5" t="s">
        <v>1172</v>
      </c>
      <c r="AF174" s="5">
        <v>720</v>
      </c>
    </row>
    <row r="175" spans="1:32" ht="27.95" x14ac:dyDescent="0.3">
      <c r="A175" s="3">
        <v>169</v>
      </c>
      <c r="B175" s="3" t="str">
        <f>"201800164611"</f>
        <v>201800164611</v>
      </c>
      <c r="C175" s="3" t="str">
        <f>"121095"</f>
        <v>121095</v>
      </c>
      <c r="D175" s="3" t="s">
        <v>1173</v>
      </c>
      <c r="E175" s="3">
        <v>20603624760</v>
      </c>
      <c r="F175" s="3" t="s">
        <v>1174</v>
      </c>
      <c r="G175" s="3" t="s">
        <v>1175</v>
      </c>
      <c r="H175" s="3" t="s">
        <v>125</v>
      </c>
      <c r="I175" s="3" t="s">
        <v>1176</v>
      </c>
      <c r="J175" s="3" t="s">
        <v>1177</v>
      </c>
      <c r="K175" s="3" t="s">
        <v>37</v>
      </c>
      <c r="L175" s="3" t="s">
        <v>1178</v>
      </c>
      <c r="M175" s="3" t="s">
        <v>94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>
        <v>10647</v>
      </c>
      <c r="AB175" s="3">
        <v>5000</v>
      </c>
      <c r="AC175" s="4">
        <v>43377</v>
      </c>
      <c r="AD175" s="3" t="s">
        <v>42</v>
      </c>
      <c r="AE175" s="3" t="s">
        <v>1179</v>
      </c>
      <c r="AF175" s="3">
        <v>0</v>
      </c>
    </row>
    <row r="176" spans="1:32" ht="41.95" x14ac:dyDescent="0.3">
      <c r="A176" s="5">
        <v>170</v>
      </c>
      <c r="B176" s="5" t="str">
        <f>"1510674"</f>
        <v>1510674</v>
      </c>
      <c r="C176" s="5" t="str">
        <f>"9576"</f>
        <v>9576</v>
      </c>
      <c r="D176" s="5" t="s">
        <v>1180</v>
      </c>
      <c r="E176" s="5">
        <v>20511230935</v>
      </c>
      <c r="F176" s="5" t="s">
        <v>1181</v>
      </c>
      <c r="G176" s="5" t="s">
        <v>1182</v>
      </c>
      <c r="H176" s="5" t="s">
        <v>329</v>
      </c>
      <c r="I176" s="5" t="s">
        <v>329</v>
      </c>
      <c r="J176" s="5" t="s">
        <v>330</v>
      </c>
      <c r="K176" s="5" t="s">
        <v>37</v>
      </c>
      <c r="L176" s="5" t="s">
        <v>1183</v>
      </c>
      <c r="M176" s="5" t="s">
        <v>1184</v>
      </c>
      <c r="N176" s="5" t="s">
        <v>1185</v>
      </c>
      <c r="O176" s="5" t="s">
        <v>1186</v>
      </c>
      <c r="P176" s="5" t="s">
        <v>94</v>
      </c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36121</v>
      </c>
      <c r="AB176" s="5">
        <v>5000</v>
      </c>
      <c r="AC176" s="6">
        <v>40862</v>
      </c>
      <c r="AD176" s="5" t="s">
        <v>42</v>
      </c>
      <c r="AE176" s="5" t="s">
        <v>305</v>
      </c>
      <c r="AF176" s="5">
        <v>0</v>
      </c>
    </row>
    <row r="177" spans="1:32" ht="27.95" x14ac:dyDescent="0.3">
      <c r="A177" s="3">
        <v>171</v>
      </c>
      <c r="B177" s="3" t="str">
        <f>"201600097309"</f>
        <v>201600097309</v>
      </c>
      <c r="C177" s="3" t="str">
        <f>"19968"</f>
        <v>19968</v>
      </c>
      <c r="D177" s="3" t="s">
        <v>1187</v>
      </c>
      <c r="E177" s="3">
        <v>20205799193</v>
      </c>
      <c r="F177" s="3" t="s">
        <v>1188</v>
      </c>
      <c r="G177" s="3" t="s">
        <v>1189</v>
      </c>
      <c r="H177" s="3" t="s">
        <v>58</v>
      </c>
      <c r="I177" s="3" t="s">
        <v>58</v>
      </c>
      <c r="J177" s="3" t="s">
        <v>1190</v>
      </c>
      <c r="K177" s="3" t="s">
        <v>37</v>
      </c>
      <c r="L177" s="3" t="s">
        <v>1191</v>
      </c>
      <c r="M177" s="3" t="s">
        <v>1192</v>
      </c>
      <c r="N177" s="3" t="s">
        <v>381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>
        <v>10752</v>
      </c>
      <c r="AB177" s="3">
        <v>2000</v>
      </c>
      <c r="AC177" s="4">
        <v>42555</v>
      </c>
      <c r="AD177" s="3" t="s">
        <v>42</v>
      </c>
      <c r="AE177" s="3" t="s">
        <v>1193</v>
      </c>
      <c r="AF177" s="3">
        <v>480</v>
      </c>
    </row>
    <row r="178" spans="1:32" ht="27.95" x14ac:dyDescent="0.3">
      <c r="A178" s="5">
        <v>172</v>
      </c>
      <c r="B178" s="5" t="str">
        <f>"202000128946"</f>
        <v>202000128946</v>
      </c>
      <c r="C178" s="5" t="str">
        <f>"149204"</f>
        <v>149204</v>
      </c>
      <c r="D178" s="5" t="s">
        <v>1194</v>
      </c>
      <c r="E178" s="5">
        <v>20604141142</v>
      </c>
      <c r="F178" s="5" t="s">
        <v>1195</v>
      </c>
      <c r="G178" s="5" t="s">
        <v>1196</v>
      </c>
      <c r="H178" s="5" t="s">
        <v>89</v>
      </c>
      <c r="I178" s="5" t="s">
        <v>89</v>
      </c>
      <c r="J178" s="5" t="s">
        <v>485</v>
      </c>
      <c r="K178" s="5" t="s">
        <v>37</v>
      </c>
      <c r="L178" s="5" t="s">
        <v>1197</v>
      </c>
      <c r="M178" s="5" t="s">
        <v>51</v>
      </c>
      <c r="N178" s="5" t="s">
        <v>103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>
        <v>15000</v>
      </c>
      <c r="AB178" s="5">
        <v>2500</v>
      </c>
      <c r="AC178" s="6">
        <v>44110</v>
      </c>
      <c r="AD178" s="5" t="s">
        <v>42</v>
      </c>
      <c r="AE178" s="5" t="s">
        <v>1198</v>
      </c>
      <c r="AF178" s="5">
        <v>0</v>
      </c>
    </row>
    <row r="179" spans="1:32" ht="27.95" x14ac:dyDescent="0.3">
      <c r="A179" s="3">
        <v>173</v>
      </c>
      <c r="B179" s="3" t="str">
        <f>"201800208131"</f>
        <v>201800208131</v>
      </c>
      <c r="C179" s="3" t="str">
        <f>"8380"</f>
        <v>8380</v>
      </c>
      <c r="D179" s="3" t="s">
        <v>1199</v>
      </c>
      <c r="E179" s="3">
        <v>20602588778</v>
      </c>
      <c r="F179" s="3" t="s">
        <v>1200</v>
      </c>
      <c r="G179" s="3" t="s">
        <v>1201</v>
      </c>
      <c r="H179" s="3" t="s">
        <v>89</v>
      </c>
      <c r="I179" s="3" t="s">
        <v>89</v>
      </c>
      <c r="J179" s="3" t="s">
        <v>834</v>
      </c>
      <c r="K179" s="3" t="s">
        <v>37</v>
      </c>
      <c r="L179" s="3" t="s">
        <v>172</v>
      </c>
      <c r="M179" s="3" t="s">
        <v>63</v>
      </c>
      <c r="N179" s="3" t="s">
        <v>128</v>
      </c>
      <c r="O179" s="3" t="s">
        <v>174</v>
      </c>
      <c r="P179" s="3" t="s">
        <v>171</v>
      </c>
      <c r="Q179" s="3" t="s">
        <v>262</v>
      </c>
      <c r="R179" s="3" t="s">
        <v>62</v>
      </c>
      <c r="S179" s="3" t="s">
        <v>78</v>
      </c>
      <c r="T179" s="3"/>
      <c r="U179" s="3"/>
      <c r="V179" s="3"/>
      <c r="W179" s="3"/>
      <c r="X179" s="3"/>
      <c r="Y179" s="3"/>
      <c r="Z179" s="3"/>
      <c r="AA179" s="3">
        <v>32500</v>
      </c>
      <c r="AB179" s="3">
        <v>3200</v>
      </c>
      <c r="AC179" s="4">
        <v>43461</v>
      </c>
      <c r="AD179" s="3" t="s">
        <v>42</v>
      </c>
      <c r="AE179" s="3" t="s">
        <v>1202</v>
      </c>
      <c r="AF179" s="3">
        <v>0</v>
      </c>
    </row>
    <row r="180" spans="1:32" ht="27.95" x14ac:dyDescent="0.3">
      <c r="A180" s="5">
        <v>174</v>
      </c>
      <c r="B180" s="5" t="str">
        <f>"201700123107"</f>
        <v>201700123107</v>
      </c>
      <c r="C180" s="5" t="str">
        <f>"19888"</f>
        <v>19888</v>
      </c>
      <c r="D180" s="5" t="s">
        <v>1203</v>
      </c>
      <c r="E180" s="5">
        <v>20534339799</v>
      </c>
      <c r="F180" s="5" t="s">
        <v>1204</v>
      </c>
      <c r="G180" s="5" t="s">
        <v>1205</v>
      </c>
      <c r="H180" s="5" t="s">
        <v>47</v>
      </c>
      <c r="I180" s="5" t="s">
        <v>159</v>
      </c>
      <c r="J180" s="5" t="s">
        <v>160</v>
      </c>
      <c r="K180" s="5" t="s">
        <v>37</v>
      </c>
      <c r="L180" s="5" t="s">
        <v>1206</v>
      </c>
      <c r="M180" s="5" t="s">
        <v>247</v>
      </c>
      <c r="N180" s="5" t="s">
        <v>1207</v>
      </c>
      <c r="O180" s="5" t="s">
        <v>103</v>
      </c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>
        <v>18000</v>
      </c>
      <c r="AB180" s="5">
        <v>2500</v>
      </c>
      <c r="AC180" s="6">
        <v>42955</v>
      </c>
      <c r="AD180" s="5" t="s">
        <v>42</v>
      </c>
      <c r="AE180" s="5" t="s">
        <v>1208</v>
      </c>
      <c r="AF180" s="5">
        <v>0</v>
      </c>
    </row>
    <row r="181" spans="1:32" x14ac:dyDescent="0.3">
      <c r="A181" s="3">
        <v>175</v>
      </c>
      <c r="B181" s="3" t="str">
        <f>"202000091612"</f>
        <v>202000091612</v>
      </c>
      <c r="C181" s="3" t="str">
        <f>"150208"</f>
        <v>150208</v>
      </c>
      <c r="D181" s="3" t="s">
        <v>1209</v>
      </c>
      <c r="E181" s="3">
        <v>20605901655</v>
      </c>
      <c r="F181" s="3" t="s">
        <v>1210</v>
      </c>
      <c r="G181" s="3" t="s">
        <v>1211</v>
      </c>
      <c r="H181" s="3" t="s">
        <v>36</v>
      </c>
      <c r="I181" s="3" t="s">
        <v>409</v>
      </c>
      <c r="J181" s="3" t="s">
        <v>409</v>
      </c>
      <c r="K181" s="3" t="s">
        <v>37</v>
      </c>
      <c r="L181" s="3" t="s">
        <v>174</v>
      </c>
      <c r="M181" s="3" t="s">
        <v>459</v>
      </c>
      <c r="N181" s="3" t="s">
        <v>368</v>
      </c>
      <c r="O181" s="3" t="s">
        <v>1153</v>
      </c>
      <c r="P181" s="3" t="s">
        <v>94</v>
      </c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>
        <v>12000</v>
      </c>
      <c r="AB181" s="3">
        <v>5000</v>
      </c>
      <c r="AC181" s="4">
        <v>44044</v>
      </c>
      <c r="AD181" s="3" t="s">
        <v>42</v>
      </c>
      <c r="AE181" s="3" t="s">
        <v>1212</v>
      </c>
      <c r="AF181" s="3">
        <v>0</v>
      </c>
    </row>
    <row r="182" spans="1:32" ht="27.95" x14ac:dyDescent="0.3">
      <c r="A182" s="5">
        <v>176</v>
      </c>
      <c r="B182" s="5" t="str">
        <f>"201700190346"</f>
        <v>201700190346</v>
      </c>
      <c r="C182" s="5" t="str">
        <f>"116882"</f>
        <v>116882</v>
      </c>
      <c r="D182" s="5" t="s">
        <v>1213</v>
      </c>
      <c r="E182" s="5">
        <v>20569283249</v>
      </c>
      <c r="F182" s="5" t="s">
        <v>1214</v>
      </c>
      <c r="G182" s="5" t="s">
        <v>1215</v>
      </c>
      <c r="H182" s="5" t="s">
        <v>116</v>
      </c>
      <c r="I182" s="5" t="s">
        <v>339</v>
      </c>
      <c r="J182" s="5" t="s">
        <v>612</v>
      </c>
      <c r="K182" s="5" t="s">
        <v>37</v>
      </c>
      <c r="L182" s="5" t="s">
        <v>173</v>
      </c>
      <c r="M182" s="5" t="s">
        <v>174</v>
      </c>
      <c r="N182" s="5" t="s">
        <v>358</v>
      </c>
      <c r="O182" s="5" t="s">
        <v>94</v>
      </c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>
        <v>12000</v>
      </c>
      <c r="AB182" s="5">
        <v>5000</v>
      </c>
      <c r="AC182" s="6">
        <v>43048</v>
      </c>
      <c r="AD182" s="5" t="s">
        <v>42</v>
      </c>
      <c r="AE182" s="5" t="s">
        <v>1216</v>
      </c>
      <c r="AF182" s="5">
        <v>0</v>
      </c>
    </row>
    <row r="183" spans="1:32" x14ac:dyDescent="0.3">
      <c r="A183" s="3">
        <v>177</v>
      </c>
      <c r="B183" s="3" t="str">
        <f>"201900136236"</f>
        <v>201900136236</v>
      </c>
      <c r="C183" s="3" t="str">
        <f>"18305"</f>
        <v>18305</v>
      </c>
      <c r="D183" s="3" t="s">
        <v>1217</v>
      </c>
      <c r="E183" s="3">
        <v>20603366850</v>
      </c>
      <c r="F183" s="3" t="s">
        <v>1218</v>
      </c>
      <c r="G183" s="3" t="s">
        <v>1219</v>
      </c>
      <c r="H183" s="3" t="s">
        <v>656</v>
      </c>
      <c r="I183" s="3" t="s">
        <v>656</v>
      </c>
      <c r="J183" s="3" t="s">
        <v>656</v>
      </c>
      <c r="K183" s="3" t="s">
        <v>37</v>
      </c>
      <c r="L183" s="3" t="s">
        <v>1153</v>
      </c>
      <c r="M183" s="3" t="s">
        <v>1220</v>
      </c>
      <c r="N183" s="3" t="s">
        <v>1220</v>
      </c>
      <c r="O183" s="3" t="s">
        <v>1007</v>
      </c>
      <c r="P183" s="3" t="s">
        <v>248</v>
      </c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>
        <v>14600</v>
      </c>
      <c r="AB183" s="3">
        <v>3000</v>
      </c>
      <c r="AC183" s="4">
        <v>43699</v>
      </c>
      <c r="AD183" s="3" t="s">
        <v>42</v>
      </c>
      <c r="AE183" s="3" t="s">
        <v>1221</v>
      </c>
      <c r="AF183" s="3">
        <v>0</v>
      </c>
    </row>
    <row r="184" spans="1:32" x14ac:dyDescent="0.3">
      <c r="A184" s="5">
        <v>178</v>
      </c>
      <c r="B184" s="5" t="str">
        <f>"202000084215"</f>
        <v>202000084215</v>
      </c>
      <c r="C184" s="5" t="str">
        <f>"34596"</f>
        <v>34596</v>
      </c>
      <c r="D184" s="5" t="s">
        <v>1222</v>
      </c>
      <c r="E184" s="5">
        <v>20453639968</v>
      </c>
      <c r="F184" s="5" t="s">
        <v>1223</v>
      </c>
      <c r="G184" s="5" t="s">
        <v>1224</v>
      </c>
      <c r="H184" s="5" t="s">
        <v>134</v>
      </c>
      <c r="I184" s="5" t="s">
        <v>1225</v>
      </c>
      <c r="J184" s="5" t="s">
        <v>1225</v>
      </c>
      <c r="K184" s="5" t="s">
        <v>37</v>
      </c>
      <c r="L184" s="5" t="s">
        <v>102</v>
      </c>
      <c r="M184" s="5" t="s">
        <v>102</v>
      </c>
      <c r="N184" s="5" t="s">
        <v>238</v>
      </c>
      <c r="O184" s="5" t="s">
        <v>74</v>
      </c>
      <c r="P184" s="5" t="s">
        <v>459</v>
      </c>
      <c r="Q184" s="5" t="s">
        <v>1226</v>
      </c>
      <c r="R184" s="5" t="s">
        <v>94</v>
      </c>
      <c r="S184" s="5"/>
      <c r="T184" s="5"/>
      <c r="U184" s="5"/>
      <c r="V184" s="5"/>
      <c r="W184" s="5"/>
      <c r="X184" s="5"/>
      <c r="Y184" s="5"/>
      <c r="Z184" s="5"/>
      <c r="AA184" s="5">
        <v>21211</v>
      </c>
      <c r="AB184" s="5">
        <v>5000</v>
      </c>
      <c r="AC184" s="6">
        <v>44038</v>
      </c>
      <c r="AD184" s="5" t="s">
        <v>42</v>
      </c>
      <c r="AE184" s="5" t="s">
        <v>1227</v>
      </c>
      <c r="AF184" s="5">
        <v>240</v>
      </c>
    </row>
    <row r="185" spans="1:32" ht="27.95" x14ac:dyDescent="0.3">
      <c r="A185" s="3">
        <v>179</v>
      </c>
      <c r="B185" s="3" t="str">
        <f>"201600165405"</f>
        <v>201600165405</v>
      </c>
      <c r="C185" s="3" t="str">
        <f>"18558"</f>
        <v>18558</v>
      </c>
      <c r="D185" s="3" t="s">
        <v>1228</v>
      </c>
      <c r="E185" s="3">
        <v>20100075858</v>
      </c>
      <c r="F185" s="3" t="s">
        <v>1229</v>
      </c>
      <c r="G185" s="3" t="s">
        <v>1230</v>
      </c>
      <c r="H185" s="3" t="s">
        <v>58</v>
      </c>
      <c r="I185" s="3" t="s">
        <v>58</v>
      </c>
      <c r="J185" s="3" t="s">
        <v>545</v>
      </c>
      <c r="K185" s="3" t="s">
        <v>37</v>
      </c>
      <c r="L185" s="3" t="s">
        <v>1231</v>
      </c>
      <c r="M185" s="3" t="s">
        <v>1232</v>
      </c>
      <c r="N185" s="3" t="s">
        <v>390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>
        <v>24000</v>
      </c>
      <c r="AB185" s="3">
        <v>5200</v>
      </c>
      <c r="AC185" s="4">
        <v>42685</v>
      </c>
      <c r="AD185" s="3" t="s">
        <v>42</v>
      </c>
      <c r="AE185" s="3" t="s">
        <v>1233</v>
      </c>
      <c r="AF185" s="3">
        <v>0</v>
      </c>
    </row>
    <row r="186" spans="1:32" ht="27.95" x14ac:dyDescent="0.3">
      <c r="A186" s="5">
        <v>180</v>
      </c>
      <c r="B186" s="5" t="str">
        <f>"201900162178"</f>
        <v>201900162178</v>
      </c>
      <c r="C186" s="5" t="str">
        <f>"7944"</f>
        <v>7944</v>
      </c>
      <c r="D186" s="5" t="s">
        <v>1234</v>
      </c>
      <c r="E186" s="5">
        <v>20603516207</v>
      </c>
      <c r="F186" s="5" t="s">
        <v>1235</v>
      </c>
      <c r="G186" s="5" t="s">
        <v>1236</v>
      </c>
      <c r="H186" s="5" t="s">
        <v>116</v>
      </c>
      <c r="I186" s="5" t="s">
        <v>339</v>
      </c>
      <c r="J186" s="5" t="s">
        <v>612</v>
      </c>
      <c r="K186" s="5" t="s">
        <v>37</v>
      </c>
      <c r="L186" s="5" t="s">
        <v>1237</v>
      </c>
      <c r="M186" s="5" t="s">
        <v>1238</v>
      </c>
      <c r="N186" s="5" t="s">
        <v>557</v>
      </c>
      <c r="O186" s="5" t="s">
        <v>557</v>
      </c>
      <c r="P186" s="5" t="s">
        <v>1239</v>
      </c>
      <c r="Q186" s="5" t="s">
        <v>94</v>
      </c>
      <c r="R186" s="5"/>
      <c r="S186" s="5"/>
      <c r="T186" s="5"/>
      <c r="U186" s="5"/>
      <c r="V186" s="5"/>
      <c r="W186" s="5"/>
      <c r="X186" s="5"/>
      <c r="Y186" s="5"/>
      <c r="Z186" s="5"/>
      <c r="AA186" s="5">
        <v>33000</v>
      </c>
      <c r="AB186" s="5">
        <v>5000</v>
      </c>
      <c r="AC186" s="6">
        <v>43747</v>
      </c>
      <c r="AD186" s="5" t="s">
        <v>42</v>
      </c>
      <c r="AE186" s="5" t="s">
        <v>1240</v>
      </c>
      <c r="AF186" s="5">
        <v>0</v>
      </c>
    </row>
    <row r="187" spans="1:32" x14ac:dyDescent="0.3">
      <c r="A187" s="3">
        <v>181</v>
      </c>
      <c r="B187" s="3" t="str">
        <f>"202000056382"</f>
        <v>202000056382</v>
      </c>
      <c r="C187" s="3" t="str">
        <f>"112332"</f>
        <v>112332</v>
      </c>
      <c r="D187" s="3" t="s">
        <v>1241</v>
      </c>
      <c r="E187" s="3">
        <v>20572246737</v>
      </c>
      <c r="F187" s="3" t="s">
        <v>1242</v>
      </c>
      <c r="G187" s="3" t="s">
        <v>1243</v>
      </c>
      <c r="H187" s="3" t="s">
        <v>150</v>
      </c>
      <c r="I187" s="3" t="s">
        <v>1244</v>
      </c>
      <c r="J187" s="3" t="s">
        <v>1245</v>
      </c>
      <c r="K187" s="3" t="s">
        <v>37</v>
      </c>
      <c r="L187" s="3" t="s">
        <v>1246</v>
      </c>
      <c r="M187" s="3" t="s">
        <v>1247</v>
      </c>
      <c r="N187" s="3" t="s">
        <v>1248</v>
      </c>
      <c r="O187" s="3" t="s">
        <v>1249</v>
      </c>
      <c r="P187" s="3" t="s">
        <v>480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>
        <v>37320</v>
      </c>
      <c r="AB187" s="3">
        <v>7800</v>
      </c>
      <c r="AC187" s="4">
        <v>43966</v>
      </c>
      <c r="AD187" s="3" t="s">
        <v>42</v>
      </c>
      <c r="AE187" s="3" t="s">
        <v>1250</v>
      </c>
      <c r="AF187" s="3">
        <v>0</v>
      </c>
    </row>
    <row r="188" spans="1:32" ht="27.95" x14ac:dyDescent="0.3">
      <c r="A188" s="5">
        <v>182</v>
      </c>
      <c r="B188" s="5" t="str">
        <f>"201800129462"</f>
        <v>201800129462</v>
      </c>
      <c r="C188" s="5" t="str">
        <f>"14556"</f>
        <v>14556</v>
      </c>
      <c r="D188" s="5" t="s">
        <v>1251</v>
      </c>
      <c r="E188" s="5">
        <v>20270382551</v>
      </c>
      <c r="F188" s="5" t="s">
        <v>407</v>
      </c>
      <c r="G188" s="5" t="s">
        <v>1252</v>
      </c>
      <c r="H188" s="5" t="s">
        <v>36</v>
      </c>
      <c r="I188" s="5" t="s">
        <v>409</v>
      </c>
      <c r="J188" s="5" t="s">
        <v>409</v>
      </c>
      <c r="K188" s="5" t="s">
        <v>37</v>
      </c>
      <c r="L188" s="5" t="s">
        <v>398</v>
      </c>
      <c r="M188" s="5" t="s">
        <v>102</v>
      </c>
      <c r="N188" s="5" t="s">
        <v>49</v>
      </c>
      <c r="O188" s="5" t="s">
        <v>51</v>
      </c>
      <c r="P188" s="5" t="s">
        <v>50</v>
      </c>
      <c r="Q188" s="5" t="s">
        <v>1044</v>
      </c>
      <c r="R188" s="5"/>
      <c r="S188" s="5"/>
      <c r="T188" s="5"/>
      <c r="U188" s="5"/>
      <c r="V188" s="5"/>
      <c r="W188" s="5"/>
      <c r="X188" s="5"/>
      <c r="Y188" s="5"/>
      <c r="Z188" s="5"/>
      <c r="AA188" s="5">
        <v>23000</v>
      </c>
      <c r="AB188" s="5">
        <v>1500</v>
      </c>
      <c r="AC188" s="6">
        <v>43324</v>
      </c>
      <c r="AD188" s="5" t="s">
        <v>42</v>
      </c>
      <c r="AE188" s="5" t="s">
        <v>415</v>
      </c>
      <c r="AF188" s="5">
        <v>720</v>
      </c>
    </row>
    <row r="189" spans="1:32" ht="27.95" x14ac:dyDescent="0.3">
      <c r="A189" s="3">
        <v>183</v>
      </c>
      <c r="B189" s="3" t="str">
        <f>"202000020986"</f>
        <v>202000020986</v>
      </c>
      <c r="C189" s="3" t="str">
        <f>"18180"</f>
        <v>18180</v>
      </c>
      <c r="D189" s="3" t="s">
        <v>1253</v>
      </c>
      <c r="E189" s="3">
        <v>20486107902</v>
      </c>
      <c r="F189" s="3" t="s">
        <v>1081</v>
      </c>
      <c r="G189" s="3" t="s">
        <v>1254</v>
      </c>
      <c r="H189" s="3" t="s">
        <v>108</v>
      </c>
      <c r="I189" s="3" t="s">
        <v>647</v>
      </c>
      <c r="J189" s="3" t="s">
        <v>846</v>
      </c>
      <c r="K189" s="3" t="s">
        <v>37</v>
      </c>
      <c r="L189" s="3" t="s">
        <v>72</v>
      </c>
      <c r="M189" s="3" t="s">
        <v>61</v>
      </c>
      <c r="N189" s="3" t="s">
        <v>1255</v>
      </c>
      <c r="O189" s="3" t="s">
        <v>1044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>
        <v>24000</v>
      </c>
      <c r="AB189" s="3">
        <v>1500</v>
      </c>
      <c r="AC189" s="4">
        <v>43875</v>
      </c>
      <c r="AD189" s="3" t="s">
        <v>42</v>
      </c>
      <c r="AE189" s="3" t="s">
        <v>1083</v>
      </c>
      <c r="AF189" s="3">
        <v>480</v>
      </c>
    </row>
    <row r="190" spans="1:32" ht="27.95" x14ac:dyDescent="0.3">
      <c r="A190" s="5">
        <v>184</v>
      </c>
      <c r="B190" s="5" t="str">
        <f>"201600129289"</f>
        <v>201600129289</v>
      </c>
      <c r="C190" s="5" t="str">
        <f>"107917"</f>
        <v>107917</v>
      </c>
      <c r="D190" s="5" t="s">
        <v>1256</v>
      </c>
      <c r="E190" s="5">
        <v>20561119300</v>
      </c>
      <c r="F190" s="5" t="s">
        <v>1257</v>
      </c>
      <c r="G190" s="5" t="s">
        <v>1258</v>
      </c>
      <c r="H190" s="5" t="s">
        <v>36</v>
      </c>
      <c r="I190" s="5" t="s">
        <v>409</v>
      </c>
      <c r="J190" s="5" t="s">
        <v>409</v>
      </c>
      <c r="K190" s="5" t="s">
        <v>37</v>
      </c>
      <c r="L190" s="5" t="s">
        <v>1259</v>
      </c>
      <c r="M190" s="5" t="s">
        <v>1260</v>
      </c>
      <c r="N190" s="5" t="s">
        <v>1261</v>
      </c>
      <c r="O190" s="5" t="s">
        <v>1262</v>
      </c>
      <c r="P190" s="5" t="s">
        <v>248</v>
      </c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>
        <v>10600</v>
      </c>
      <c r="AB190" s="5">
        <v>3000</v>
      </c>
      <c r="AC190" s="6">
        <v>42626</v>
      </c>
      <c r="AD190" s="5" t="s">
        <v>42</v>
      </c>
      <c r="AE190" s="5" t="s">
        <v>1263</v>
      </c>
      <c r="AF190" s="5">
        <v>0</v>
      </c>
    </row>
    <row r="191" spans="1:32" ht="27.95" x14ac:dyDescent="0.3">
      <c r="A191" s="3">
        <v>185</v>
      </c>
      <c r="B191" s="3" t="str">
        <f>"202000119427"</f>
        <v>202000119427</v>
      </c>
      <c r="C191" s="3" t="str">
        <f>"17945"</f>
        <v>17945</v>
      </c>
      <c r="D191" s="3" t="s">
        <v>1264</v>
      </c>
      <c r="E191" s="3">
        <v>20514059196</v>
      </c>
      <c r="F191" s="3" t="s">
        <v>1265</v>
      </c>
      <c r="G191" s="3" t="s">
        <v>1266</v>
      </c>
      <c r="H191" s="3" t="s">
        <v>58</v>
      </c>
      <c r="I191" s="3" t="s">
        <v>58</v>
      </c>
      <c r="J191" s="3" t="s">
        <v>1267</v>
      </c>
      <c r="K191" s="3" t="s">
        <v>37</v>
      </c>
      <c r="L191" s="3" t="s">
        <v>1268</v>
      </c>
      <c r="M191" s="3" t="s">
        <v>1269</v>
      </c>
      <c r="N191" s="3" t="s">
        <v>247</v>
      </c>
      <c r="O191" s="3" t="s">
        <v>94</v>
      </c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>
        <v>18000</v>
      </c>
      <c r="AB191" s="3">
        <v>5000</v>
      </c>
      <c r="AC191" s="4">
        <v>44084</v>
      </c>
      <c r="AD191" s="3" t="s">
        <v>42</v>
      </c>
      <c r="AE191" s="3" t="s">
        <v>1270</v>
      </c>
      <c r="AF191" s="3">
        <v>0</v>
      </c>
    </row>
    <row r="192" spans="1:32" ht="27.95" x14ac:dyDescent="0.3">
      <c r="A192" s="5">
        <v>186</v>
      </c>
      <c r="B192" s="5" t="str">
        <f>"201800164602"</f>
        <v>201800164602</v>
      </c>
      <c r="C192" s="5" t="str">
        <f>"20123"</f>
        <v>20123</v>
      </c>
      <c r="D192" s="5" t="s">
        <v>1271</v>
      </c>
      <c r="E192" s="5">
        <v>20603348312</v>
      </c>
      <c r="F192" s="5" t="s">
        <v>1272</v>
      </c>
      <c r="G192" s="5" t="s">
        <v>1273</v>
      </c>
      <c r="H192" s="5" t="s">
        <v>219</v>
      </c>
      <c r="I192" s="5" t="s">
        <v>568</v>
      </c>
      <c r="J192" s="5" t="s">
        <v>569</v>
      </c>
      <c r="K192" s="5" t="s">
        <v>37</v>
      </c>
      <c r="L192" s="5" t="s">
        <v>102</v>
      </c>
      <c r="M192" s="5" t="s">
        <v>571</v>
      </c>
      <c r="N192" s="5" t="s">
        <v>572</v>
      </c>
      <c r="O192" s="5" t="s">
        <v>248</v>
      </c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7400</v>
      </c>
      <c r="AB192" s="5">
        <v>3000</v>
      </c>
      <c r="AC192" s="6">
        <v>43382</v>
      </c>
      <c r="AD192" s="5" t="s">
        <v>42</v>
      </c>
      <c r="AE192" s="5" t="s">
        <v>1274</v>
      </c>
      <c r="AF192" s="5">
        <v>0</v>
      </c>
    </row>
    <row r="193" spans="1:32" ht="27.95" x14ac:dyDescent="0.3">
      <c r="A193" s="3">
        <v>187</v>
      </c>
      <c r="B193" s="3" t="str">
        <f>"202000150013"</f>
        <v>202000150013</v>
      </c>
      <c r="C193" s="3" t="str">
        <f>"8838"</f>
        <v>8838</v>
      </c>
      <c r="D193" s="3" t="s">
        <v>1275</v>
      </c>
      <c r="E193" s="3">
        <v>20440178147</v>
      </c>
      <c r="F193" s="3" t="s">
        <v>1276</v>
      </c>
      <c r="G193" s="3" t="s">
        <v>1277</v>
      </c>
      <c r="H193" s="3" t="s">
        <v>219</v>
      </c>
      <c r="I193" s="3" t="s">
        <v>220</v>
      </c>
      <c r="J193" s="3" t="s">
        <v>220</v>
      </c>
      <c r="K193" s="3" t="s">
        <v>37</v>
      </c>
      <c r="L193" s="3" t="s">
        <v>1278</v>
      </c>
      <c r="M193" s="3" t="s">
        <v>173</v>
      </c>
      <c r="N193" s="3" t="s">
        <v>1169</v>
      </c>
      <c r="O193" s="3" t="s">
        <v>1279</v>
      </c>
      <c r="P193" s="3" t="s">
        <v>1169</v>
      </c>
      <c r="Q193" s="3" t="s">
        <v>555</v>
      </c>
      <c r="R193" s="3" t="s">
        <v>94</v>
      </c>
      <c r="S193" s="3"/>
      <c r="T193" s="3"/>
      <c r="U193" s="3"/>
      <c r="V193" s="3"/>
      <c r="W193" s="3"/>
      <c r="X193" s="3"/>
      <c r="Y193" s="3"/>
      <c r="Z193" s="3"/>
      <c r="AA193" s="3">
        <v>43600</v>
      </c>
      <c r="AB193" s="3">
        <v>5000</v>
      </c>
      <c r="AC193" s="4">
        <v>44129</v>
      </c>
      <c r="AD193" s="3" t="s">
        <v>42</v>
      </c>
      <c r="AE193" s="3" t="s">
        <v>1280</v>
      </c>
      <c r="AF193" s="3">
        <v>0</v>
      </c>
    </row>
    <row r="194" spans="1:32" ht="27.95" x14ac:dyDescent="0.3">
      <c r="A194" s="5">
        <v>188</v>
      </c>
      <c r="B194" s="5" t="str">
        <f>"201700094826"</f>
        <v>201700094826</v>
      </c>
      <c r="C194" s="5" t="str">
        <f>"7072"</f>
        <v>7072</v>
      </c>
      <c r="D194" s="5" t="s">
        <v>1281</v>
      </c>
      <c r="E194" s="5">
        <v>20517688844</v>
      </c>
      <c r="F194" s="5" t="s">
        <v>1282</v>
      </c>
      <c r="G194" s="5" t="s">
        <v>1283</v>
      </c>
      <c r="H194" s="5" t="s">
        <v>108</v>
      </c>
      <c r="I194" s="5" t="s">
        <v>475</v>
      </c>
      <c r="J194" s="5" t="s">
        <v>475</v>
      </c>
      <c r="K194" s="5" t="s">
        <v>37</v>
      </c>
      <c r="L194" s="5" t="s">
        <v>72</v>
      </c>
      <c r="M194" s="5" t="s">
        <v>72</v>
      </c>
      <c r="N194" s="5" t="s">
        <v>174</v>
      </c>
      <c r="O194" s="5" t="s">
        <v>172</v>
      </c>
      <c r="P194" s="5" t="s">
        <v>1284</v>
      </c>
      <c r="Q194" s="5" t="s">
        <v>172</v>
      </c>
      <c r="R194" s="5" t="s">
        <v>54</v>
      </c>
      <c r="S194" s="5"/>
      <c r="T194" s="5"/>
      <c r="U194" s="5"/>
      <c r="V194" s="5"/>
      <c r="W194" s="5"/>
      <c r="X194" s="5"/>
      <c r="Y194" s="5"/>
      <c r="Z194" s="5"/>
      <c r="AA194" s="5">
        <v>33000</v>
      </c>
      <c r="AB194" s="5">
        <v>4000</v>
      </c>
      <c r="AC194" s="6">
        <v>42907</v>
      </c>
      <c r="AD194" s="5" t="s">
        <v>42</v>
      </c>
      <c r="AE194" s="5" t="s">
        <v>1285</v>
      </c>
      <c r="AF194" s="5">
        <v>160</v>
      </c>
    </row>
    <row r="195" spans="1:32" ht="27.95" x14ac:dyDescent="0.3">
      <c r="A195" s="3">
        <v>189</v>
      </c>
      <c r="B195" s="3" t="str">
        <f>"201900149944"</f>
        <v>201900149944</v>
      </c>
      <c r="C195" s="3" t="str">
        <f>"146087"</f>
        <v>146087</v>
      </c>
      <c r="D195" s="3" t="s">
        <v>1286</v>
      </c>
      <c r="E195" s="3">
        <v>20568600453</v>
      </c>
      <c r="F195" s="3" t="s">
        <v>850</v>
      </c>
      <c r="G195" s="3" t="s">
        <v>1287</v>
      </c>
      <c r="H195" s="3" t="s">
        <v>58</v>
      </c>
      <c r="I195" s="3" t="s">
        <v>554</v>
      </c>
      <c r="J195" s="3" t="s">
        <v>554</v>
      </c>
      <c r="K195" s="3" t="s">
        <v>37</v>
      </c>
      <c r="L195" s="3" t="s">
        <v>1288</v>
      </c>
      <c r="M195" s="3" t="s">
        <v>166</v>
      </c>
      <c r="N195" s="3" t="s">
        <v>1289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>
        <v>20000</v>
      </c>
      <c r="AB195" s="3">
        <v>5500</v>
      </c>
      <c r="AC195" s="4">
        <v>43726</v>
      </c>
      <c r="AD195" s="3" t="s">
        <v>42</v>
      </c>
      <c r="AE195" s="3" t="s">
        <v>853</v>
      </c>
      <c r="AF195" s="3">
        <v>0</v>
      </c>
    </row>
    <row r="196" spans="1:32" ht="27.95" x14ac:dyDescent="0.3">
      <c r="A196" s="5">
        <v>190</v>
      </c>
      <c r="B196" s="5" t="str">
        <f>"201900099837"</f>
        <v>201900099837</v>
      </c>
      <c r="C196" s="5" t="str">
        <f>"44371"</f>
        <v>44371</v>
      </c>
      <c r="D196" s="5" t="s">
        <v>1290</v>
      </c>
      <c r="E196" s="5">
        <v>20601870224</v>
      </c>
      <c r="F196" s="5" t="s">
        <v>1291</v>
      </c>
      <c r="G196" s="5" t="s">
        <v>1292</v>
      </c>
      <c r="H196" s="5" t="s">
        <v>656</v>
      </c>
      <c r="I196" s="5" t="s">
        <v>656</v>
      </c>
      <c r="J196" s="5" t="s">
        <v>657</v>
      </c>
      <c r="K196" s="5" t="s">
        <v>37</v>
      </c>
      <c r="L196" s="5" t="s">
        <v>1293</v>
      </c>
      <c r="M196" s="5" t="s">
        <v>1294</v>
      </c>
      <c r="N196" s="5" t="s">
        <v>1295</v>
      </c>
      <c r="O196" s="5" t="s">
        <v>1296</v>
      </c>
      <c r="P196" s="5" t="s">
        <v>78</v>
      </c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>
        <v>19860</v>
      </c>
      <c r="AB196" s="5">
        <v>3200</v>
      </c>
      <c r="AC196" s="6">
        <v>43639</v>
      </c>
      <c r="AD196" s="5" t="s">
        <v>42</v>
      </c>
      <c r="AE196" s="5" t="s">
        <v>1297</v>
      </c>
      <c r="AF196" s="5">
        <v>100</v>
      </c>
    </row>
    <row r="197" spans="1:32" ht="27.95" x14ac:dyDescent="0.3">
      <c r="A197" s="3">
        <v>191</v>
      </c>
      <c r="B197" s="3" t="str">
        <f>"202000056356"</f>
        <v>202000056356</v>
      </c>
      <c r="C197" s="3" t="str">
        <f>"9232"</f>
        <v>9232</v>
      </c>
      <c r="D197" s="3" t="s">
        <v>1298</v>
      </c>
      <c r="E197" s="3">
        <v>20525608531</v>
      </c>
      <c r="F197" s="3" t="s">
        <v>1299</v>
      </c>
      <c r="G197" s="3" t="s">
        <v>1300</v>
      </c>
      <c r="H197" s="3" t="s">
        <v>187</v>
      </c>
      <c r="I197" s="3" t="s">
        <v>187</v>
      </c>
      <c r="J197" s="3" t="s">
        <v>187</v>
      </c>
      <c r="K197" s="3" t="s">
        <v>37</v>
      </c>
      <c r="L197" s="3" t="s">
        <v>51</v>
      </c>
      <c r="M197" s="3" t="s">
        <v>102</v>
      </c>
      <c r="N197" s="3" t="s">
        <v>1301</v>
      </c>
      <c r="O197" s="3" t="s">
        <v>1302</v>
      </c>
      <c r="P197" s="3" t="s">
        <v>94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>
        <v>15000</v>
      </c>
      <c r="AB197" s="3">
        <v>5000</v>
      </c>
      <c r="AC197" s="4">
        <v>43965</v>
      </c>
      <c r="AD197" s="3" t="s">
        <v>42</v>
      </c>
      <c r="AE197" s="3" t="s">
        <v>1303</v>
      </c>
      <c r="AF197" s="3">
        <v>720</v>
      </c>
    </row>
    <row r="198" spans="1:32" x14ac:dyDescent="0.3">
      <c r="A198" s="5">
        <v>192</v>
      </c>
      <c r="B198" s="5" t="str">
        <f>"201900119716"</f>
        <v>201900119716</v>
      </c>
      <c r="C198" s="5" t="str">
        <f>"14509"</f>
        <v>14509</v>
      </c>
      <c r="D198" s="5" t="s">
        <v>1304</v>
      </c>
      <c r="E198" s="5">
        <v>20534449462</v>
      </c>
      <c r="F198" s="5" t="s">
        <v>1305</v>
      </c>
      <c r="G198" s="5" t="s">
        <v>1306</v>
      </c>
      <c r="H198" s="5" t="s">
        <v>47</v>
      </c>
      <c r="I198" s="5" t="s">
        <v>159</v>
      </c>
      <c r="J198" s="5" t="s">
        <v>160</v>
      </c>
      <c r="K198" s="5" t="s">
        <v>37</v>
      </c>
      <c r="L198" s="5" t="s">
        <v>464</v>
      </c>
      <c r="M198" s="5" t="s">
        <v>1307</v>
      </c>
      <c r="N198" s="5" t="s">
        <v>1308</v>
      </c>
      <c r="O198" s="5" t="s">
        <v>248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>
        <v>13200</v>
      </c>
      <c r="AB198" s="5">
        <v>3000</v>
      </c>
      <c r="AC198" s="6">
        <v>43670</v>
      </c>
      <c r="AD198" s="5" t="s">
        <v>42</v>
      </c>
      <c r="AE198" s="5" t="s">
        <v>1309</v>
      </c>
      <c r="AF198" s="5">
        <v>0</v>
      </c>
    </row>
    <row r="199" spans="1:32" ht="27.95" x14ac:dyDescent="0.3">
      <c r="A199" s="3">
        <v>193</v>
      </c>
      <c r="B199" s="3" t="str">
        <f>"201600137878"</f>
        <v>201600137878</v>
      </c>
      <c r="C199" s="3" t="str">
        <f>"35104"</f>
        <v>35104</v>
      </c>
      <c r="D199" s="3" t="s">
        <v>1310</v>
      </c>
      <c r="E199" s="3">
        <v>20530682197</v>
      </c>
      <c r="F199" s="3" t="s">
        <v>1311</v>
      </c>
      <c r="G199" s="3" t="s">
        <v>1312</v>
      </c>
      <c r="H199" s="3" t="s">
        <v>116</v>
      </c>
      <c r="I199" s="3" t="s">
        <v>1168</v>
      </c>
      <c r="J199" s="3" t="s">
        <v>626</v>
      </c>
      <c r="K199" s="3" t="s">
        <v>37</v>
      </c>
      <c r="L199" s="3" t="s">
        <v>1313</v>
      </c>
      <c r="M199" s="3" t="s">
        <v>1314</v>
      </c>
      <c r="N199" s="3" t="s">
        <v>128</v>
      </c>
      <c r="O199" s="3" t="s">
        <v>1315</v>
      </c>
      <c r="P199" s="3" t="s">
        <v>1316</v>
      </c>
      <c r="Q199" s="3" t="s">
        <v>1317</v>
      </c>
      <c r="R199" s="3" t="s">
        <v>54</v>
      </c>
      <c r="S199" s="3"/>
      <c r="T199" s="3"/>
      <c r="U199" s="3"/>
      <c r="V199" s="3"/>
      <c r="W199" s="3"/>
      <c r="X199" s="3"/>
      <c r="Y199" s="3"/>
      <c r="Z199" s="3"/>
      <c r="AA199" s="3">
        <v>29886</v>
      </c>
      <c r="AB199" s="3">
        <v>4000</v>
      </c>
      <c r="AC199" s="4">
        <v>42653</v>
      </c>
      <c r="AD199" s="3" t="s">
        <v>42</v>
      </c>
      <c r="AE199" s="3" t="s">
        <v>1318</v>
      </c>
      <c r="AF199" s="3">
        <v>480</v>
      </c>
    </row>
    <row r="200" spans="1:32" ht="41.95" x14ac:dyDescent="0.3">
      <c r="A200" s="5">
        <v>194</v>
      </c>
      <c r="B200" s="5" t="str">
        <f>"201700139698"</f>
        <v>201700139698</v>
      </c>
      <c r="C200" s="5" t="str">
        <f>"87150"</f>
        <v>87150</v>
      </c>
      <c r="D200" s="5" t="s">
        <v>1319</v>
      </c>
      <c r="E200" s="5">
        <v>20601176280</v>
      </c>
      <c r="F200" s="5" t="s">
        <v>1320</v>
      </c>
      <c r="G200" s="5" t="s">
        <v>1321</v>
      </c>
      <c r="H200" s="5" t="s">
        <v>47</v>
      </c>
      <c r="I200" s="5" t="s">
        <v>159</v>
      </c>
      <c r="J200" s="5" t="s">
        <v>160</v>
      </c>
      <c r="K200" s="5" t="s">
        <v>37</v>
      </c>
      <c r="L200" s="5" t="s">
        <v>1322</v>
      </c>
      <c r="M200" s="5" t="s">
        <v>1323</v>
      </c>
      <c r="N200" s="5" t="s">
        <v>94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>
        <v>8000</v>
      </c>
      <c r="AB200" s="5">
        <v>5000</v>
      </c>
      <c r="AC200" s="6">
        <v>42979</v>
      </c>
      <c r="AD200" s="5" t="s">
        <v>42</v>
      </c>
      <c r="AE200" s="5" t="s">
        <v>1324</v>
      </c>
      <c r="AF200" s="5">
        <v>0</v>
      </c>
    </row>
    <row r="201" spans="1:32" ht="27.95" x14ac:dyDescent="0.3">
      <c r="A201" s="3">
        <v>195</v>
      </c>
      <c r="B201" s="3" t="str">
        <f>"201200110642"</f>
        <v>201200110642</v>
      </c>
      <c r="C201" s="3" t="str">
        <f>"18850"</f>
        <v>18850</v>
      </c>
      <c r="D201" s="3" t="s">
        <v>1325</v>
      </c>
      <c r="E201" s="3">
        <v>20536053621</v>
      </c>
      <c r="F201" s="3" t="s">
        <v>1146</v>
      </c>
      <c r="G201" s="3" t="s">
        <v>1326</v>
      </c>
      <c r="H201" s="3" t="s">
        <v>219</v>
      </c>
      <c r="I201" s="3" t="s">
        <v>220</v>
      </c>
      <c r="J201" s="3" t="s">
        <v>220</v>
      </c>
      <c r="K201" s="3" t="s">
        <v>37</v>
      </c>
      <c r="L201" s="3" t="s">
        <v>477</v>
      </c>
      <c r="M201" s="3" t="s">
        <v>285</v>
      </c>
      <c r="N201" s="3" t="s">
        <v>238</v>
      </c>
      <c r="O201" s="3" t="s">
        <v>477</v>
      </c>
      <c r="P201" s="3" t="s">
        <v>238</v>
      </c>
      <c r="Q201" s="3" t="s">
        <v>94</v>
      </c>
      <c r="R201" s="3"/>
      <c r="S201" s="3"/>
      <c r="T201" s="3"/>
      <c r="U201" s="3"/>
      <c r="V201" s="3"/>
      <c r="W201" s="3"/>
      <c r="X201" s="3"/>
      <c r="Y201" s="3"/>
      <c r="Z201" s="3"/>
      <c r="AA201" s="3">
        <v>18000</v>
      </c>
      <c r="AB201" s="3">
        <v>5000</v>
      </c>
      <c r="AC201" s="4">
        <v>41060</v>
      </c>
      <c r="AD201" s="3" t="s">
        <v>42</v>
      </c>
      <c r="AE201" s="3" t="s">
        <v>1327</v>
      </c>
      <c r="AF201" s="3">
        <v>0</v>
      </c>
    </row>
    <row r="202" spans="1:32" x14ac:dyDescent="0.3">
      <c r="A202" s="5">
        <v>196</v>
      </c>
      <c r="B202" s="5" t="str">
        <f>"202000069675"</f>
        <v>202000069675</v>
      </c>
      <c r="C202" s="5" t="str">
        <f>"149143"</f>
        <v>149143</v>
      </c>
      <c r="D202" s="5" t="s">
        <v>1328</v>
      </c>
      <c r="E202" s="5">
        <v>20605079131</v>
      </c>
      <c r="F202" s="5" t="s">
        <v>1329</v>
      </c>
      <c r="G202" s="5" t="s">
        <v>1330</v>
      </c>
      <c r="H202" s="5" t="s">
        <v>219</v>
      </c>
      <c r="I202" s="5" t="s">
        <v>220</v>
      </c>
      <c r="J202" s="5" t="s">
        <v>220</v>
      </c>
      <c r="K202" s="5" t="s">
        <v>37</v>
      </c>
      <c r="L202" s="5" t="s">
        <v>102</v>
      </c>
      <c r="M202" s="5" t="s">
        <v>51</v>
      </c>
      <c r="N202" s="5" t="s">
        <v>1331</v>
      </c>
      <c r="O202" s="5" t="s">
        <v>1332</v>
      </c>
      <c r="P202" s="5" t="s">
        <v>1333</v>
      </c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>
        <v>17200</v>
      </c>
      <c r="AB202" s="5">
        <v>3750</v>
      </c>
      <c r="AC202" s="6">
        <v>44007</v>
      </c>
      <c r="AD202" s="5" t="s">
        <v>42</v>
      </c>
      <c r="AE202" s="5" t="s">
        <v>1334</v>
      </c>
      <c r="AF202" s="5">
        <v>0</v>
      </c>
    </row>
    <row r="203" spans="1:32" ht="27.95" x14ac:dyDescent="0.3">
      <c r="A203" s="3">
        <v>197</v>
      </c>
      <c r="B203" s="3" t="str">
        <f>"201900193819"</f>
        <v>201900193819</v>
      </c>
      <c r="C203" s="3" t="str">
        <f>"6906"</f>
        <v>6906</v>
      </c>
      <c r="D203" s="3" t="s">
        <v>1335</v>
      </c>
      <c r="E203" s="3">
        <v>20425803680</v>
      </c>
      <c r="F203" s="3" t="s">
        <v>1336</v>
      </c>
      <c r="G203" s="3" t="s">
        <v>1337</v>
      </c>
      <c r="H203" s="3" t="s">
        <v>58</v>
      </c>
      <c r="I203" s="3" t="s">
        <v>58</v>
      </c>
      <c r="J203" s="3" t="s">
        <v>1338</v>
      </c>
      <c r="K203" s="3" t="s">
        <v>37</v>
      </c>
      <c r="L203" s="3" t="s">
        <v>161</v>
      </c>
      <c r="M203" s="3" t="s">
        <v>161</v>
      </c>
      <c r="N203" s="3" t="s">
        <v>63</v>
      </c>
      <c r="O203" s="3" t="s">
        <v>63</v>
      </c>
      <c r="P203" s="3" t="s">
        <v>263</v>
      </c>
      <c r="Q203" s="3" t="s">
        <v>63</v>
      </c>
      <c r="R203" s="3" t="s">
        <v>263</v>
      </c>
      <c r="S203" s="3" t="s">
        <v>1278</v>
      </c>
      <c r="T203" s="3" t="s">
        <v>161</v>
      </c>
      <c r="U203" s="3" t="s">
        <v>120</v>
      </c>
      <c r="V203" s="3"/>
      <c r="W203" s="3"/>
      <c r="X203" s="3"/>
      <c r="Y203" s="3"/>
      <c r="Z203" s="3"/>
      <c r="AA203" s="3">
        <v>54000</v>
      </c>
      <c r="AB203" s="3">
        <v>3500</v>
      </c>
      <c r="AC203" s="4">
        <v>43829</v>
      </c>
      <c r="AD203" s="3" t="s">
        <v>42</v>
      </c>
      <c r="AE203" s="3" t="s">
        <v>1339</v>
      </c>
      <c r="AF203" s="3">
        <v>120</v>
      </c>
    </row>
    <row r="204" spans="1:32" ht="27.95" x14ac:dyDescent="0.3">
      <c r="A204" s="5">
        <v>198</v>
      </c>
      <c r="B204" s="5" t="str">
        <f>"201600109009"</f>
        <v>201600109009</v>
      </c>
      <c r="C204" s="5" t="str">
        <f>"19948"</f>
        <v>19948</v>
      </c>
      <c r="D204" s="5" t="s">
        <v>1340</v>
      </c>
      <c r="E204" s="5">
        <v>20503840121</v>
      </c>
      <c r="F204" s="5" t="s">
        <v>442</v>
      </c>
      <c r="G204" s="5" t="s">
        <v>1341</v>
      </c>
      <c r="H204" s="5" t="s">
        <v>58</v>
      </c>
      <c r="I204" s="5" t="s">
        <v>58</v>
      </c>
      <c r="J204" s="5" t="s">
        <v>268</v>
      </c>
      <c r="K204" s="5" t="s">
        <v>37</v>
      </c>
      <c r="L204" s="5" t="s">
        <v>1342</v>
      </c>
      <c r="M204" s="5" t="s">
        <v>1231</v>
      </c>
      <c r="N204" s="5" t="s">
        <v>78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>
        <v>24000</v>
      </c>
      <c r="AB204" s="5">
        <v>3200</v>
      </c>
      <c r="AC204" s="6">
        <v>42582</v>
      </c>
      <c r="AD204" s="5" t="s">
        <v>42</v>
      </c>
      <c r="AE204" s="5" t="s">
        <v>399</v>
      </c>
      <c r="AF204" s="5">
        <v>0</v>
      </c>
    </row>
    <row r="205" spans="1:32" x14ac:dyDescent="0.3">
      <c r="A205" s="3">
        <v>199</v>
      </c>
      <c r="B205" s="3" t="str">
        <f>"201600109014"</f>
        <v>201600109014</v>
      </c>
      <c r="C205" s="3" t="str">
        <f>"9531"</f>
        <v>9531</v>
      </c>
      <c r="D205" s="3" t="s">
        <v>1343</v>
      </c>
      <c r="E205" s="3">
        <v>20503840121</v>
      </c>
      <c r="F205" s="3" t="s">
        <v>393</v>
      </c>
      <c r="G205" s="3" t="s">
        <v>1344</v>
      </c>
      <c r="H205" s="3" t="s">
        <v>329</v>
      </c>
      <c r="I205" s="3" t="s">
        <v>329</v>
      </c>
      <c r="J205" s="3" t="s">
        <v>330</v>
      </c>
      <c r="K205" s="3" t="s">
        <v>37</v>
      </c>
      <c r="L205" s="3" t="s">
        <v>53</v>
      </c>
      <c r="M205" s="3" t="s">
        <v>703</v>
      </c>
      <c r="N205" s="3" t="s">
        <v>61</v>
      </c>
      <c r="O205" s="3" t="s">
        <v>72</v>
      </c>
      <c r="P205" s="3" t="s">
        <v>72</v>
      </c>
      <c r="Q205" s="3" t="s">
        <v>72</v>
      </c>
      <c r="R205" s="3" t="s">
        <v>78</v>
      </c>
      <c r="S205" s="3"/>
      <c r="T205" s="3"/>
      <c r="U205" s="3"/>
      <c r="V205" s="3"/>
      <c r="W205" s="3"/>
      <c r="X205" s="3"/>
      <c r="Y205" s="3"/>
      <c r="Z205" s="3"/>
      <c r="AA205" s="3">
        <v>48000</v>
      </c>
      <c r="AB205" s="3">
        <v>3200</v>
      </c>
      <c r="AC205" s="4">
        <v>42582</v>
      </c>
      <c r="AD205" s="3" t="s">
        <v>42</v>
      </c>
      <c r="AE205" s="3" t="s">
        <v>399</v>
      </c>
      <c r="AF205" s="3">
        <v>0</v>
      </c>
    </row>
    <row r="206" spans="1:32" ht="27.95" x14ac:dyDescent="0.3">
      <c r="A206" s="5">
        <v>200</v>
      </c>
      <c r="B206" s="5" t="str">
        <f>"201900058800"</f>
        <v>201900058800</v>
      </c>
      <c r="C206" s="5" t="str">
        <f>"20097"</f>
        <v>20097</v>
      </c>
      <c r="D206" s="5" t="s">
        <v>1345</v>
      </c>
      <c r="E206" s="5">
        <v>20452857236</v>
      </c>
      <c r="F206" s="5" t="s">
        <v>1346</v>
      </c>
      <c r="G206" s="5" t="s">
        <v>1347</v>
      </c>
      <c r="H206" s="5" t="s">
        <v>656</v>
      </c>
      <c r="I206" s="5" t="s">
        <v>656</v>
      </c>
      <c r="J206" s="5" t="s">
        <v>656</v>
      </c>
      <c r="K206" s="5" t="s">
        <v>37</v>
      </c>
      <c r="L206" s="5" t="s">
        <v>174</v>
      </c>
      <c r="M206" s="5" t="s">
        <v>76</v>
      </c>
      <c r="N206" s="5" t="s">
        <v>63</v>
      </c>
      <c r="O206" s="5" t="s">
        <v>1163</v>
      </c>
      <c r="P206" s="5" t="s">
        <v>670</v>
      </c>
      <c r="Q206" s="5" t="s">
        <v>464</v>
      </c>
      <c r="R206" s="5" t="s">
        <v>1348</v>
      </c>
      <c r="S206" s="5" t="s">
        <v>94</v>
      </c>
      <c r="T206" s="5"/>
      <c r="U206" s="5"/>
      <c r="V206" s="5"/>
      <c r="W206" s="5"/>
      <c r="X206" s="5"/>
      <c r="Y206" s="5"/>
      <c r="Z206" s="5"/>
      <c r="AA206" s="5">
        <v>23200</v>
      </c>
      <c r="AB206" s="5">
        <v>5000</v>
      </c>
      <c r="AC206" s="6">
        <v>43565</v>
      </c>
      <c r="AD206" s="5" t="s">
        <v>42</v>
      </c>
      <c r="AE206" s="5" t="s">
        <v>1349</v>
      </c>
      <c r="AF206" s="5">
        <v>0</v>
      </c>
    </row>
    <row r="207" spans="1:32" ht="41.95" x14ac:dyDescent="0.3">
      <c r="A207" s="3">
        <v>201</v>
      </c>
      <c r="B207" s="3" t="str">
        <f>"201900185006"</f>
        <v>201900185006</v>
      </c>
      <c r="C207" s="3" t="str">
        <f>"19994"</f>
        <v>19994</v>
      </c>
      <c r="D207" s="3" t="s">
        <v>1350</v>
      </c>
      <c r="E207" s="3">
        <v>20538122107</v>
      </c>
      <c r="F207" s="3" t="s">
        <v>1351</v>
      </c>
      <c r="G207" s="3" t="s">
        <v>1352</v>
      </c>
      <c r="H207" s="3" t="s">
        <v>58</v>
      </c>
      <c r="I207" s="3" t="s">
        <v>58</v>
      </c>
      <c r="J207" s="3" t="s">
        <v>1267</v>
      </c>
      <c r="K207" s="3" t="s">
        <v>37</v>
      </c>
      <c r="L207" s="3" t="s">
        <v>1353</v>
      </c>
      <c r="M207" s="3" t="s">
        <v>1354</v>
      </c>
      <c r="N207" s="3" t="s">
        <v>1355</v>
      </c>
      <c r="O207" s="3" t="s">
        <v>381</v>
      </c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>
        <v>15031</v>
      </c>
      <c r="AB207" s="3">
        <v>2000</v>
      </c>
      <c r="AC207" s="4">
        <v>43860</v>
      </c>
      <c r="AD207" s="3" t="s">
        <v>42</v>
      </c>
      <c r="AE207" s="3" t="s">
        <v>1356</v>
      </c>
      <c r="AF207" s="3">
        <v>0</v>
      </c>
    </row>
    <row r="208" spans="1:32" ht="27.95" x14ac:dyDescent="0.3">
      <c r="A208" s="5">
        <v>202</v>
      </c>
      <c r="B208" s="5" t="str">
        <f>"202000000735"</f>
        <v>202000000735</v>
      </c>
      <c r="C208" s="5" t="str">
        <f>"104354"</f>
        <v>104354</v>
      </c>
      <c r="D208" s="5" t="s">
        <v>1357</v>
      </c>
      <c r="E208" s="5">
        <v>20569238618</v>
      </c>
      <c r="F208" s="5" t="s">
        <v>1358</v>
      </c>
      <c r="G208" s="5" t="s">
        <v>1359</v>
      </c>
      <c r="H208" s="5" t="s">
        <v>116</v>
      </c>
      <c r="I208" s="5" t="s">
        <v>339</v>
      </c>
      <c r="J208" s="5" t="s">
        <v>340</v>
      </c>
      <c r="K208" s="5" t="s">
        <v>37</v>
      </c>
      <c r="L208" s="5" t="s">
        <v>459</v>
      </c>
      <c r="M208" s="5" t="s">
        <v>74</v>
      </c>
      <c r="N208" s="5" t="s">
        <v>1360</v>
      </c>
      <c r="O208" s="5" t="s">
        <v>103</v>
      </c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>
        <v>9000</v>
      </c>
      <c r="AB208" s="5">
        <v>2500</v>
      </c>
      <c r="AC208" s="6">
        <v>43850</v>
      </c>
      <c r="AD208" s="5" t="s">
        <v>42</v>
      </c>
      <c r="AE208" s="5" t="s">
        <v>1361</v>
      </c>
      <c r="AF208" s="5">
        <v>720</v>
      </c>
    </row>
    <row r="209" spans="1:32" ht="27.95" x14ac:dyDescent="0.3">
      <c r="A209" s="3">
        <v>203</v>
      </c>
      <c r="B209" s="3" t="str">
        <f>"201700112114"</f>
        <v>201700112114</v>
      </c>
      <c r="C209" s="3" t="str">
        <f>"126897"</f>
        <v>126897</v>
      </c>
      <c r="D209" s="3" t="s">
        <v>1362</v>
      </c>
      <c r="E209" s="3">
        <v>20561111741</v>
      </c>
      <c r="F209" s="3" t="s">
        <v>1363</v>
      </c>
      <c r="G209" s="3" t="s">
        <v>1364</v>
      </c>
      <c r="H209" s="3" t="s">
        <v>219</v>
      </c>
      <c r="I209" s="3" t="s">
        <v>1365</v>
      </c>
      <c r="J209" s="3" t="s">
        <v>1366</v>
      </c>
      <c r="K209" s="3" t="s">
        <v>37</v>
      </c>
      <c r="L209" s="3" t="s">
        <v>1169</v>
      </c>
      <c r="M209" s="3" t="s">
        <v>1367</v>
      </c>
      <c r="N209" s="3" t="s">
        <v>74</v>
      </c>
      <c r="O209" s="3" t="s">
        <v>555</v>
      </c>
      <c r="P209" s="3" t="s">
        <v>94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>
        <v>15000</v>
      </c>
      <c r="AB209" s="3">
        <v>5000</v>
      </c>
      <c r="AC209" s="4">
        <v>42961</v>
      </c>
      <c r="AD209" s="3" t="s">
        <v>42</v>
      </c>
      <c r="AE209" s="3" t="s">
        <v>1368</v>
      </c>
      <c r="AF209" s="3">
        <v>720</v>
      </c>
    </row>
    <row r="210" spans="1:32" ht="27.95" x14ac:dyDescent="0.3">
      <c r="A210" s="5">
        <v>204</v>
      </c>
      <c r="B210" s="5" t="str">
        <f>"201700112702"</f>
        <v>201700112702</v>
      </c>
      <c r="C210" s="5" t="str">
        <f>"16678"</f>
        <v>16678</v>
      </c>
      <c r="D210" s="5" t="s">
        <v>1369</v>
      </c>
      <c r="E210" s="5">
        <v>20503840121</v>
      </c>
      <c r="F210" s="5" t="s">
        <v>442</v>
      </c>
      <c r="G210" s="5" t="s">
        <v>1370</v>
      </c>
      <c r="H210" s="5" t="s">
        <v>656</v>
      </c>
      <c r="I210" s="5" t="s">
        <v>656</v>
      </c>
      <c r="J210" s="5" t="s">
        <v>656</v>
      </c>
      <c r="K210" s="5" t="s">
        <v>37</v>
      </c>
      <c r="L210" s="5" t="s">
        <v>166</v>
      </c>
      <c r="M210" s="5" t="s">
        <v>459</v>
      </c>
      <c r="N210" s="5" t="s">
        <v>555</v>
      </c>
      <c r="O210" s="5" t="s">
        <v>555</v>
      </c>
      <c r="P210" s="5" t="s">
        <v>51</v>
      </c>
      <c r="Q210" s="5" t="s">
        <v>154</v>
      </c>
      <c r="R210" s="5"/>
      <c r="S210" s="5"/>
      <c r="T210" s="5"/>
      <c r="U210" s="5"/>
      <c r="V210" s="5"/>
      <c r="W210" s="5"/>
      <c r="X210" s="5"/>
      <c r="Y210" s="5"/>
      <c r="Z210" s="5"/>
      <c r="AA210" s="5">
        <v>24000</v>
      </c>
      <c r="AB210" s="5">
        <v>6000</v>
      </c>
      <c r="AC210" s="6">
        <v>42936</v>
      </c>
      <c r="AD210" s="5" t="s">
        <v>42</v>
      </c>
      <c r="AE210" s="5" t="s">
        <v>399</v>
      </c>
      <c r="AF210" s="5">
        <v>0</v>
      </c>
    </row>
    <row r="211" spans="1:32" ht="41.95" x14ac:dyDescent="0.3">
      <c r="A211" s="3">
        <v>205</v>
      </c>
      <c r="B211" s="3" t="str">
        <f>"201900072200"</f>
        <v>201900072200</v>
      </c>
      <c r="C211" s="3" t="str">
        <f>"13930"</f>
        <v>13930</v>
      </c>
      <c r="D211" s="3" t="s">
        <v>1371</v>
      </c>
      <c r="E211" s="3">
        <v>20127765279</v>
      </c>
      <c r="F211" s="3" t="s">
        <v>1115</v>
      </c>
      <c r="G211" s="3" t="s">
        <v>1372</v>
      </c>
      <c r="H211" s="3" t="s">
        <v>58</v>
      </c>
      <c r="I211" s="3" t="s">
        <v>58</v>
      </c>
      <c r="J211" s="3" t="s">
        <v>1373</v>
      </c>
      <c r="K211" s="3" t="s">
        <v>37</v>
      </c>
      <c r="L211" s="3" t="s">
        <v>172</v>
      </c>
      <c r="M211" s="3" t="s">
        <v>60</v>
      </c>
      <c r="N211" s="3" t="s">
        <v>174</v>
      </c>
      <c r="O211" s="3" t="s">
        <v>65</v>
      </c>
      <c r="P211" s="3" t="s">
        <v>65</v>
      </c>
      <c r="Q211" s="3" t="s">
        <v>248</v>
      </c>
      <c r="R211" s="3"/>
      <c r="S211" s="3"/>
      <c r="T211" s="3"/>
      <c r="U211" s="3"/>
      <c r="V211" s="3"/>
      <c r="W211" s="3"/>
      <c r="X211" s="3"/>
      <c r="Y211" s="3"/>
      <c r="Z211" s="3"/>
      <c r="AA211" s="3">
        <v>24000</v>
      </c>
      <c r="AB211" s="3">
        <v>3000</v>
      </c>
      <c r="AC211" s="4">
        <v>43591</v>
      </c>
      <c r="AD211" s="3" t="s">
        <v>42</v>
      </c>
      <c r="AE211" s="3" t="s">
        <v>1374</v>
      </c>
      <c r="AF211" s="3">
        <v>480</v>
      </c>
    </row>
    <row r="212" spans="1:32" ht="27.95" x14ac:dyDescent="0.3">
      <c r="A212" s="5">
        <v>206</v>
      </c>
      <c r="B212" s="5" t="str">
        <f>"201600048384"</f>
        <v>201600048384</v>
      </c>
      <c r="C212" s="5" t="str">
        <f>"19959"</f>
        <v>19959</v>
      </c>
      <c r="D212" s="5" t="s">
        <v>1375</v>
      </c>
      <c r="E212" s="5">
        <v>20530682197</v>
      </c>
      <c r="F212" s="5" t="s">
        <v>1311</v>
      </c>
      <c r="G212" s="5" t="s">
        <v>1376</v>
      </c>
      <c r="H212" s="5" t="s">
        <v>58</v>
      </c>
      <c r="I212" s="5" t="s">
        <v>58</v>
      </c>
      <c r="J212" s="5" t="s">
        <v>1026</v>
      </c>
      <c r="K212" s="5" t="s">
        <v>37</v>
      </c>
      <c r="L212" s="5" t="s">
        <v>1377</v>
      </c>
      <c r="M212" s="5" t="s">
        <v>669</v>
      </c>
      <c r="N212" s="5" t="s">
        <v>862</v>
      </c>
      <c r="O212" s="5" t="s">
        <v>72</v>
      </c>
      <c r="P212" s="5" t="s">
        <v>103</v>
      </c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>
        <v>27600</v>
      </c>
      <c r="AB212" s="5">
        <v>2500</v>
      </c>
      <c r="AC212" s="6">
        <v>42478</v>
      </c>
      <c r="AD212" s="5" t="s">
        <v>42</v>
      </c>
      <c r="AE212" s="5" t="s">
        <v>1318</v>
      </c>
      <c r="AF212" s="5">
        <v>200</v>
      </c>
    </row>
    <row r="213" spans="1:32" ht="27.95" x14ac:dyDescent="0.3">
      <c r="A213" s="3">
        <v>207</v>
      </c>
      <c r="B213" s="3" t="str">
        <f>"201700015029"</f>
        <v>201700015029</v>
      </c>
      <c r="C213" s="3" t="str">
        <f>"124109"</f>
        <v>124109</v>
      </c>
      <c r="D213" s="3" t="s">
        <v>1378</v>
      </c>
      <c r="E213" s="3">
        <v>10707503861</v>
      </c>
      <c r="F213" s="3" t="s">
        <v>1379</v>
      </c>
      <c r="G213" s="3" t="s">
        <v>1380</v>
      </c>
      <c r="H213" s="3" t="s">
        <v>125</v>
      </c>
      <c r="I213" s="3" t="s">
        <v>125</v>
      </c>
      <c r="J213" s="3" t="s">
        <v>1381</v>
      </c>
      <c r="K213" s="3" t="s">
        <v>37</v>
      </c>
      <c r="L213" s="3" t="s">
        <v>52</v>
      </c>
      <c r="M213" s="3" t="s">
        <v>499</v>
      </c>
      <c r="N213" s="3" t="s">
        <v>94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>
        <v>16000</v>
      </c>
      <c r="AB213" s="3">
        <v>5000</v>
      </c>
      <c r="AC213" s="4">
        <v>42778</v>
      </c>
      <c r="AD213" s="3" t="s">
        <v>42</v>
      </c>
      <c r="AE213" s="3" t="s">
        <v>1379</v>
      </c>
      <c r="AF213" s="3">
        <v>0</v>
      </c>
    </row>
    <row r="214" spans="1:32" ht="27.95" x14ac:dyDescent="0.3">
      <c r="A214" s="5">
        <v>208</v>
      </c>
      <c r="B214" s="5" t="str">
        <f>"201500088073"</f>
        <v>201500088073</v>
      </c>
      <c r="C214" s="5" t="str">
        <f>"101538"</f>
        <v>101538</v>
      </c>
      <c r="D214" s="5" t="s">
        <v>1382</v>
      </c>
      <c r="E214" s="5">
        <v>10228876092</v>
      </c>
      <c r="F214" s="5" t="s">
        <v>1383</v>
      </c>
      <c r="G214" s="5" t="s">
        <v>1384</v>
      </c>
      <c r="H214" s="5" t="s">
        <v>125</v>
      </c>
      <c r="I214" s="5" t="s">
        <v>1385</v>
      </c>
      <c r="J214" s="5" t="s">
        <v>1386</v>
      </c>
      <c r="K214" s="5" t="s">
        <v>37</v>
      </c>
      <c r="L214" s="5" t="s">
        <v>1387</v>
      </c>
      <c r="M214" s="5" t="s">
        <v>84</v>
      </c>
      <c r="N214" s="5" t="s">
        <v>54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>
        <v>8000</v>
      </c>
      <c r="AB214" s="5">
        <v>4000</v>
      </c>
      <c r="AC214" s="6">
        <v>42221</v>
      </c>
      <c r="AD214" s="5" t="s">
        <v>42</v>
      </c>
      <c r="AE214" s="5" t="s">
        <v>1383</v>
      </c>
      <c r="AF214" s="5">
        <v>0</v>
      </c>
    </row>
    <row r="215" spans="1:32" x14ac:dyDescent="0.3">
      <c r="A215" s="3">
        <v>209</v>
      </c>
      <c r="B215" s="3" t="str">
        <f>"202000073974"</f>
        <v>202000073974</v>
      </c>
      <c r="C215" s="3" t="str">
        <f>"18507"</f>
        <v>18507</v>
      </c>
      <c r="D215" s="3" t="s">
        <v>1388</v>
      </c>
      <c r="E215" s="3">
        <v>20565643496</v>
      </c>
      <c r="F215" s="3" t="s">
        <v>1389</v>
      </c>
      <c r="G215" s="3" t="s">
        <v>1390</v>
      </c>
      <c r="H215" s="3" t="s">
        <v>187</v>
      </c>
      <c r="I215" s="3" t="s">
        <v>187</v>
      </c>
      <c r="J215" s="3" t="s">
        <v>187</v>
      </c>
      <c r="K215" s="3" t="s">
        <v>37</v>
      </c>
      <c r="L215" s="3" t="s">
        <v>669</v>
      </c>
      <c r="M215" s="3" t="s">
        <v>683</v>
      </c>
      <c r="N215" s="3" t="s">
        <v>320</v>
      </c>
      <c r="O215" s="3" t="s">
        <v>103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>
        <v>20500</v>
      </c>
      <c r="AB215" s="3">
        <v>2500</v>
      </c>
      <c r="AC215" s="4">
        <v>44012</v>
      </c>
      <c r="AD215" s="3" t="s">
        <v>42</v>
      </c>
      <c r="AE215" s="3" t="s">
        <v>1391</v>
      </c>
      <c r="AF215" s="3">
        <v>480</v>
      </c>
    </row>
    <row r="216" spans="1:32" ht="27.95" x14ac:dyDescent="0.3">
      <c r="A216" s="5">
        <v>210</v>
      </c>
      <c r="B216" s="5" t="str">
        <f>"201900174625"</f>
        <v>201900174625</v>
      </c>
      <c r="C216" s="5" t="str">
        <f>"14517"</f>
        <v>14517</v>
      </c>
      <c r="D216" s="5" t="s">
        <v>1392</v>
      </c>
      <c r="E216" s="5">
        <v>20514606774</v>
      </c>
      <c r="F216" s="5" t="s">
        <v>1393</v>
      </c>
      <c r="G216" s="5" t="s">
        <v>1394</v>
      </c>
      <c r="H216" s="5" t="s">
        <v>47</v>
      </c>
      <c r="I216" s="5" t="s">
        <v>1395</v>
      </c>
      <c r="J216" s="5" t="s">
        <v>1396</v>
      </c>
      <c r="K216" s="5" t="s">
        <v>37</v>
      </c>
      <c r="L216" s="5" t="s">
        <v>1397</v>
      </c>
      <c r="M216" s="5" t="s">
        <v>1398</v>
      </c>
      <c r="N216" s="5" t="s">
        <v>1399</v>
      </c>
      <c r="O216" s="5" t="s">
        <v>1400</v>
      </c>
      <c r="P216" s="5" t="s">
        <v>397</v>
      </c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>
        <v>33250</v>
      </c>
      <c r="AB216" s="5">
        <v>4200</v>
      </c>
      <c r="AC216" s="6">
        <v>43761</v>
      </c>
      <c r="AD216" s="5" t="s">
        <v>42</v>
      </c>
      <c r="AE216" s="5" t="s">
        <v>1401</v>
      </c>
      <c r="AF216" s="5">
        <v>0</v>
      </c>
    </row>
    <row r="217" spans="1:32" ht="27.95" x14ac:dyDescent="0.3">
      <c r="A217" s="3">
        <v>211</v>
      </c>
      <c r="B217" s="3" t="str">
        <f>"201600152355"</f>
        <v>201600152355</v>
      </c>
      <c r="C217" s="3" t="str">
        <f>"42088"</f>
        <v>42088</v>
      </c>
      <c r="D217" s="3" t="s">
        <v>1402</v>
      </c>
      <c r="E217" s="3">
        <v>20503840121</v>
      </c>
      <c r="F217" s="3" t="s">
        <v>393</v>
      </c>
      <c r="G217" s="3" t="s">
        <v>1403</v>
      </c>
      <c r="H217" s="3" t="s">
        <v>219</v>
      </c>
      <c r="I217" s="3" t="s">
        <v>220</v>
      </c>
      <c r="J217" s="3" t="s">
        <v>302</v>
      </c>
      <c r="K217" s="3" t="s">
        <v>37</v>
      </c>
      <c r="L217" s="3" t="s">
        <v>1404</v>
      </c>
      <c r="M217" s="3" t="s">
        <v>1405</v>
      </c>
      <c r="N217" s="3" t="s">
        <v>1406</v>
      </c>
      <c r="O217" s="3" t="s">
        <v>1407</v>
      </c>
      <c r="P217" s="3" t="s">
        <v>78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>
        <v>13049</v>
      </c>
      <c r="AB217" s="3">
        <v>4550</v>
      </c>
      <c r="AC217" s="4">
        <v>42674</v>
      </c>
      <c r="AD217" s="3" t="s">
        <v>42</v>
      </c>
      <c r="AE217" s="3" t="s">
        <v>399</v>
      </c>
      <c r="AF217" s="3">
        <v>720</v>
      </c>
    </row>
    <row r="218" spans="1:32" x14ac:dyDescent="0.3">
      <c r="A218" s="5">
        <v>212</v>
      </c>
      <c r="B218" s="5" t="str">
        <f>"201700170802"</f>
        <v>201700170802</v>
      </c>
      <c r="C218" s="5" t="str">
        <f>"14535"</f>
        <v>14535</v>
      </c>
      <c r="D218" s="5" t="s">
        <v>1408</v>
      </c>
      <c r="E218" s="5">
        <v>20514089346</v>
      </c>
      <c r="F218" s="5" t="s">
        <v>1409</v>
      </c>
      <c r="G218" s="5" t="s">
        <v>1410</v>
      </c>
      <c r="H218" s="5" t="s">
        <v>108</v>
      </c>
      <c r="I218" s="5" t="s">
        <v>852</v>
      </c>
      <c r="J218" s="5" t="s">
        <v>1411</v>
      </c>
      <c r="K218" s="5" t="s">
        <v>37</v>
      </c>
      <c r="L218" s="5" t="s">
        <v>75</v>
      </c>
      <c r="M218" s="5" t="s">
        <v>110</v>
      </c>
      <c r="N218" s="5" t="s">
        <v>77</v>
      </c>
      <c r="O218" s="5" t="s">
        <v>1412</v>
      </c>
      <c r="P218" s="5" t="s">
        <v>1413</v>
      </c>
      <c r="Q218" s="5" t="s">
        <v>1414</v>
      </c>
      <c r="R218" s="5" t="s">
        <v>94</v>
      </c>
      <c r="S218" s="5"/>
      <c r="T218" s="5"/>
      <c r="U218" s="5"/>
      <c r="V218" s="5"/>
      <c r="W218" s="5"/>
      <c r="X218" s="5"/>
      <c r="Y218" s="5"/>
      <c r="Z218" s="5"/>
      <c r="AA218" s="5">
        <v>18190</v>
      </c>
      <c r="AB218" s="5">
        <v>5000</v>
      </c>
      <c r="AC218" s="6">
        <v>43027</v>
      </c>
      <c r="AD218" s="5" t="s">
        <v>42</v>
      </c>
      <c r="AE218" s="5" t="s">
        <v>1415</v>
      </c>
      <c r="AF218" s="5">
        <v>480</v>
      </c>
    </row>
    <row r="219" spans="1:32" ht="27.95" x14ac:dyDescent="0.3">
      <c r="A219" s="3">
        <v>213</v>
      </c>
      <c r="B219" s="3" t="str">
        <f>"202000128296"</f>
        <v>202000128296</v>
      </c>
      <c r="C219" s="3" t="str">
        <f>"16583"</f>
        <v>16583</v>
      </c>
      <c r="D219" s="3" t="s">
        <v>1416</v>
      </c>
      <c r="E219" s="3">
        <v>20124910260</v>
      </c>
      <c r="F219" s="3" t="s">
        <v>1417</v>
      </c>
      <c r="G219" s="3" t="s">
        <v>1418</v>
      </c>
      <c r="H219" s="3" t="s">
        <v>89</v>
      </c>
      <c r="I219" s="3" t="s">
        <v>89</v>
      </c>
      <c r="J219" s="3" t="s">
        <v>89</v>
      </c>
      <c r="K219" s="3" t="s">
        <v>37</v>
      </c>
      <c r="L219" s="3" t="s">
        <v>1163</v>
      </c>
      <c r="M219" s="3" t="s">
        <v>1360</v>
      </c>
      <c r="N219" s="3" t="s">
        <v>1419</v>
      </c>
      <c r="O219" s="3" t="s">
        <v>172</v>
      </c>
      <c r="P219" s="3" t="s">
        <v>174</v>
      </c>
      <c r="Q219" s="3" t="s">
        <v>1420</v>
      </c>
      <c r="R219" s="3"/>
      <c r="S219" s="3"/>
      <c r="T219" s="3"/>
      <c r="U219" s="3"/>
      <c r="V219" s="3"/>
      <c r="W219" s="3"/>
      <c r="X219" s="3"/>
      <c r="Y219" s="3"/>
      <c r="Z219" s="3"/>
      <c r="AA219" s="3">
        <v>17000</v>
      </c>
      <c r="AB219" s="3">
        <v>2400</v>
      </c>
      <c r="AC219" s="4">
        <v>44108</v>
      </c>
      <c r="AD219" s="3" t="s">
        <v>42</v>
      </c>
      <c r="AE219" s="3" t="s">
        <v>1421</v>
      </c>
      <c r="AF219" s="3">
        <v>0</v>
      </c>
    </row>
    <row r="220" spans="1:32" ht="27.95" x14ac:dyDescent="0.3">
      <c r="A220" s="5">
        <v>214</v>
      </c>
      <c r="B220" s="5" t="str">
        <f>"202000033150"</f>
        <v>202000033150</v>
      </c>
      <c r="C220" s="5" t="str">
        <f>"17861"</f>
        <v>17861</v>
      </c>
      <c r="D220" s="5" t="s">
        <v>1422</v>
      </c>
      <c r="E220" s="5">
        <v>20427140467</v>
      </c>
      <c r="F220" s="5" t="s">
        <v>1423</v>
      </c>
      <c r="G220" s="5" t="s">
        <v>1424</v>
      </c>
      <c r="H220" s="5" t="s">
        <v>58</v>
      </c>
      <c r="I220" s="5" t="s">
        <v>58</v>
      </c>
      <c r="J220" s="5" t="s">
        <v>1190</v>
      </c>
      <c r="K220" s="5" t="s">
        <v>37</v>
      </c>
      <c r="L220" s="5" t="s">
        <v>1425</v>
      </c>
      <c r="M220" s="5" t="s">
        <v>1426</v>
      </c>
      <c r="N220" s="5" t="s">
        <v>1039</v>
      </c>
      <c r="O220" s="5" t="s">
        <v>381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>
        <v>24000</v>
      </c>
      <c r="AB220" s="5">
        <v>2000</v>
      </c>
      <c r="AC220" s="6">
        <v>43888</v>
      </c>
      <c r="AD220" s="5" t="s">
        <v>42</v>
      </c>
      <c r="AE220" s="5" t="s">
        <v>1427</v>
      </c>
      <c r="AF220" s="5">
        <v>0</v>
      </c>
    </row>
    <row r="221" spans="1:32" ht="27.95" x14ac:dyDescent="0.3">
      <c r="A221" s="3">
        <v>215</v>
      </c>
      <c r="B221" s="3" t="str">
        <f>"201700157648"</f>
        <v>201700157648</v>
      </c>
      <c r="C221" s="3" t="str">
        <f>"124988"</f>
        <v>124988</v>
      </c>
      <c r="D221" s="3" t="s">
        <v>1428</v>
      </c>
      <c r="E221" s="3">
        <v>20601281644</v>
      </c>
      <c r="F221" s="3" t="s">
        <v>1429</v>
      </c>
      <c r="G221" s="3" t="s">
        <v>1430</v>
      </c>
      <c r="H221" s="3" t="s">
        <v>58</v>
      </c>
      <c r="I221" s="3" t="s">
        <v>823</v>
      </c>
      <c r="J221" s="3" t="s">
        <v>823</v>
      </c>
      <c r="K221" s="3" t="s">
        <v>37</v>
      </c>
      <c r="L221" s="3" t="s">
        <v>1431</v>
      </c>
      <c r="M221" s="3" t="s">
        <v>102</v>
      </c>
      <c r="N221" s="3" t="s">
        <v>94</v>
      </c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>
        <v>11000</v>
      </c>
      <c r="AB221" s="3">
        <v>5000</v>
      </c>
      <c r="AC221" s="4">
        <v>43010</v>
      </c>
      <c r="AD221" s="3" t="s">
        <v>42</v>
      </c>
      <c r="AE221" s="3" t="s">
        <v>1432</v>
      </c>
      <c r="AF221" s="3">
        <v>0</v>
      </c>
    </row>
    <row r="222" spans="1:32" x14ac:dyDescent="0.3">
      <c r="A222" s="5">
        <v>216</v>
      </c>
      <c r="B222" s="5" t="str">
        <f>"201600109005"</f>
        <v>201600109005</v>
      </c>
      <c r="C222" s="5" t="str">
        <f>"8196"</f>
        <v>8196</v>
      </c>
      <c r="D222" s="5" t="s">
        <v>1433</v>
      </c>
      <c r="E222" s="5">
        <v>20503840121</v>
      </c>
      <c r="F222" s="5" t="s">
        <v>393</v>
      </c>
      <c r="G222" s="5" t="s">
        <v>1434</v>
      </c>
      <c r="H222" s="5" t="s">
        <v>58</v>
      </c>
      <c r="I222" s="5" t="s">
        <v>58</v>
      </c>
      <c r="J222" s="5" t="s">
        <v>403</v>
      </c>
      <c r="K222" s="5" t="s">
        <v>37</v>
      </c>
      <c r="L222" s="5" t="s">
        <v>63</v>
      </c>
      <c r="M222" s="5" t="s">
        <v>172</v>
      </c>
      <c r="N222" s="5" t="s">
        <v>161</v>
      </c>
      <c r="O222" s="5" t="s">
        <v>171</v>
      </c>
      <c r="P222" s="5" t="s">
        <v>1435</v>
      </c>
      <c r="Q222" s="5" t="s">
        <v>775</v>
      </c>
      <c r="R222" s="5" t="s">
        <v>1435</v>
      </c>
      <c r="S222" s="5" t="s">
        <v>78</v>
      </c>
      <c r="T222" s="5"/>
      <c r="U222" s="5"/>
      <c r="V222" s="5"/>
      <c r="W222" s="5"/>
      <c r="X222" s="5"/>
      <c r="Y222" s="5"/>
      <c r="Z222" s="5"/>
      <c r="AA222" s="5">
        <v>27300</v>
      </c>
      <c r="AB222" s="5">
        <v>3200</v>
      </c>
      <c r="AC222" s="6">
        <v>42589</v>
      </c>
      <c r="AD222" s="5" t="s">
        <v>42</v>
      </c>
      <c r="AE222" s="5" t="s">
        <v>1436</v>
      </c>
      <c r="AF222" s="5">
        <v>0</v>
      </c>
    </row>
    <row r="223" spans="1:32" ht="27.95" x14ac:dyDescent="0.3">
      <c r="A223" s="3">
        <v>217</v>
      </c>
      <c r="B223" s="3" t="str">
        <f>"201900136248"</f>
        <v>201900136248</v>
      </c>
      <c r="C223" s="3" t="str">
        <f>"16692"</f>
        <v>16692</v>
      </c>
      <c r="D223" s="3" t="s">
        <v>1437</v>
      </c>
      <c r="E223" s="3">
        <v>20602816207</v>
      </c>
      <c r="F223" s="3" t="s">
        <v>1438</v>
      </c>
      <c r="G223" s="3" t="s">
        <v>1439</v>
      </c>
      <c r="H223" s="3" t="s">
        <v>116</v>
      </c>
      <c r="I223" s="3" t="s">
        <v>339</v>
      </c>
      <c r="J223" s="3" t="s">
        <v>340</v>
      </c>
      <c r="K223" s="3" t="s">
        <v>37</v>
      </c>
      <c r="L223" s="3" t="s">
        <v>127</v>
      </c>
      <c r="M223" s="3" t="s">
        <v>127</v>
      </c>
      <c r="N223" s="3" t="s">
        <v>128</v>
      </c>
      <c r="O223" s="3" t="s">
        <v>1440</v>
      </c>
      <c r="P223" s="3" t="s">
        <v>103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>
        <v>18000</v>
      </c>
      <c r="AB223" s="3">
        <v>2500</v>
      </c>
      <c r="AC223" s="4">
        <v>43704</v>
      </c>
      <c r="AD223" s="3" t="s">
        <v>42</v>
      </c>
      <c r="AE223" s="3" t="s">
        <v>1441</v>
      </c>
      <c r="AF223" s="3">
        <v>0</v>
      </c>
    </row>
    <row r="224" spans="1:32" ht="27.95" x14ac:dyDescent="0.3">
      <c r="A224" s="5">
        <v>218</v>
      </c>
      <c r="B224" s="5" t="str">
        <f>"202000042856"</f>
        <v>202000042856</v>
      </c>
      <c r="C224" s="5" t="str">
        <f>"18787"</f>
        <v>18787</v>
      </c>
      <c r="D224" s="5" t="s">
        <v>1442</v>
      </c>
      <c r="E224" s="5">
        <v>20272316750</v>
      </c>
      <c r="F224" s="5" t="s">
        <v>1443</v>
      </c>
      <c r="G224" s="5" t="s">
        <v>1444</v>
      </c>
      <c r="H224" s="5" t="s">
        <v>89</v>
      </c>
      <c r="I224" s="5" t="s">
        <v>89</v>
      </c>
      <c r="J224" s="5" t="s">
        <v>1445</v>
      </c>
      <c r="K224" s="5" t="s">
        <v>37</v>
      </c>
      <c r="L224" s="5" t="s">
        <v>1446</v>
      </c>
      <c r="M224" s="5" t="s">
        <v>1447</v>
      </c>
      <c r="N224" s="5" t="s">
        <v>1448</v>
      </c>
      <c r="O224" s="5" t="s">
        <v>1449</v>
      </c>
      <c r="P224" s="5" t="s">
        <v>691</v>
      </c>
      <c r="Q224" s="5" t="s">
        <v>248</v>
      </c>
      <c r="R224" s="5"/>
      <c r="S224" s="5"/>
      <c r="T224" s="5"/>
      <c r="U224" s="5"/>
      <c r="V224" s="5"/>
      <c r="W224" s="5"/>
      <c r="X224" s="5"/>
      <c r="Y224" s="5"/>
      <c r="Z224" s="5"/>
      <c r="AA224" s="5">
        <v>18750</v>
      </c>
      <c r="AB224" s="5">
        <v>3000</v>
      </c>
      <c r="AC224" s="6">
        <v>43910</v>
      </c>
      <c r="AD224" s="5" t="s">
        <v>42</v>
      </c>
      <c r="AE224" s="5" t="s">
        <v>1450</v>
      </c>
      <c r="AF224" s="5">
        <v>0</v>
      </c>
    </row>
    <row r="225" spans="1:32" ht="27.95" x14ac:dyDescent="0.3">
      <c r="A225" s="3">
        <v>219</v>
      </c>
      <c r="B225" s="3" t="str">
        <f>"201600109001"</f>
        <v>201600109001</v>
      </c>
      <c r="C225" s="3" t="str">
        <f>"18822"</f>
        <v>18822</v>
      </c>
      <c r="D225" s="3" t="s">
        <v>1451</v>
      </c>
      <c r="E225" s="3">
        <v>20503840121</v>
      </c>
      <c r="F225" s="3" t="s">
        <v>393</v>
      </c>
      <c r="G225" s="3" t="s">
        <v>1452</v>
      </c>
      <c r="H225" s="3" t="s">
        <v>58</v>
      </c>
      <c r="I225" s="3" t="s">
        <v>58</v>
      </c>
      <c r="J225" s="3" t="s">
        <v>58</v>
      </c>
      <c r="K225" s="3" t="s">
        <v>37</v>
      </c>
      <c r="L225" s="3" t="s">
        <v>63</v>
      </c>
      <c r="M225" s="3" t="s">
        <v>1453</v>
      </c>
      <c r="N225" s="3" t="s">
        <v>390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>
        <v>18000</v>
      </c>
      <c r="AB225" s="3">
        <v>5200</v>
      </c>
      <c r="AC225" s="4">
        <v>42582</v>
      </c>
      <c r="AD225" s="3" t="s">
        <v>42</v>
      </c>
      <c r="AE225" s="3" t="s">
        <v>399</v>
      </c>
      <c r="AF225" s="3">
        <v>0</v>
      </c>
    </row>
    <row r="226" spans="1:32" x14ac:dyDescent="0.3">
      <c r="A226" s="5">
        <v>220</v>
      </c>
      <c r="B226" s="5" t="str">
        <f>"201600125121"</f>
        <v>201600125121</v>
      </c>
      <c r="C226" s="5" t="str">
        <f>"9557"</f>
        <v>9557</v>
      </c>
      <c r="D226" s="5" t="s">
        <v>1454</v>
      </c>
      <c r="E226" s="5">
        <v>20452453909</v>
      </c>
      <c r="F226" s="5" t="s">
        <v>1455</v>
      </c>
      <c r="G226" s="5" t="s">
        <v>1456</v>
      </c>
      <c r="H226" s="5" t="s">
        <v>47</v>
      </c>
      <c r="I226" s="5" t="s">
        <v>47</v>
      </c>
      <c r="J226" s="5" t="s">
        <v>170</v>
      </c>
      <c r="K226" s="5" t="s">
        <v>37</v>
      </c>
      <c r="L226" s="5" t="s">
        <v>1007</v>
      </c>
      <c r="M226" s="5" t="s">
        <v>1153</v>
      </c>
      <c r="N226" s="5" t="s">
        <v>368</v>
      </c>
      <c r="O226" s="5" t="s">
        <v>324</v>
      </c>
      <c r="P226" s="5" t="s">
        <v>172</v>
      </c>
      <c r="Q226" s="5" t="s">
        <v>172</v>
      </c>
      <c r="R226" s="5" t="s">
        <v>1457</v>
      </c>
      <c r="S226" s="5" t="s">
        <v>1458</v>
      </c>
      <c r="T226" s="5" t="s">
        <v>390</v>
      </c>
      <c r="U226" s="5"/>
      <c r="V226" s="5"/>
      <c r="W226" s="5"/>
      <c r="X226" s="5"/>
      <c r="Y226" s="5"/>
      <c r="Z226" s="5"/>
      <c r="AA226" s="5">
        <v>29920</v>
      </c>
      <c r="AB226" s="5">
        <v>5200</v>
      </c>
      <c r="AC226" s="6">
        <v>42608</v>
      </c>
      <c r="AD226" s="5" t="s">
        <v>42</v>
      </c>
      <c r="AE226" s="5" t="s">
        <v>1459</v>
      </c>
      <c r="AF226" s="5">
        <v>0</v>
      </c>
    </row>
    <row r="227" spans="1:32" ht="27.95" x14ac:dyDescent="0.3">
      <c r="A227" s="3">
        <v>221</v>
      </c>
      <c r="B227" s="3" t="str">
        <f>"201900196035"</f>
        <v>201900196035</v>
      </c>
      <c r="C227" s="3" t="str">
        <f>"35258"</f>
        <v>35258</v>
      </c>
      <c r="D227" s="3" t="s">
        <v>1460</v>
      </c>
      <c r="E227" s="3">
        <v>20318791245</v>
      </c>
      <c r="F227" s="3" t="s">
        <v>1461</v>
      </c>
      <c r="G227" s="3" t="s">
        <v>1462</v>
      </c>
      <c r="H227" s="3" t="s">
        <v>108</v>
      </c>
      <c r="I227" s="3" t="s">
        <v>647</v>
      </c>
      <c r="J227" s="3" t="s">
        <v>846</v>
      </c>
      <c r="K227" s="3" t="s">
        <v>37</v>
      </c>
      <c r="L227" s="3" t="s">
        <v>1463</v>
      </c>
      <c r="M227" s="3" t="s">
        <v>161</v>
      </c>
      <c r="N227" s="3" t="s">
        <v>63</v>
      </c>
      <c r="O227" s="3" t="s">
        <v>94</v>
      </c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>
        <v>18000</v>
      </c>
      <c r="AB227" s="3">
        <v>5000</v>
      </c>
      <c r="AC227" s="4">
        <v>43796</v>
      </c>
      <c r="AD227" s="3" t="s">
        <v>42</v>
      </c>
      <c r="AE227" s="3" t="s">
        <v>1464</v>
      </c>
      <c r="AF227" s="3">
        <v>180</v>
      </c>
    </row>
    <row r="228" spans="1:32" ht="27.95" x14ac:dyDescent="0.3">
      <c r="A228" s="5">
        <v>222</v>
      </c>
      <c r="B228" s="5" t="str">
        <f>"201700058067"</f>
        <v>201700058067</v>
      </c>
      <c r="C228" s="5" t="str">
        <f>"14527"</f>
        <v>14527</v>
      </c>
      <c r="D228" s="5" t="s">
        <v>1465</v>
      </c>
      <c r="E228" s="5">
        <v>20282498295</v>
      </c>
      <c r="F228" s="5" t="s">
        <v>1466</v>
      </c>
      <c r="G228" s="5" t="s">
        <v>1467</v>
      </c>
      <c r="H228" s="5" t="s">
        <v>108</v>
      </c>
      <c r="I228" s="5" t="s">
        <v>1468</v>
      </c>
      <c r="J228" s="5" t="s">
        <v>1468</v>
      </c>
      <c r="K228" s="5" t="s">
        <v>37</v>
      </c>
      <c r="L228" s="5" t="s">
        <v>303</v>
      </c>
      <c r="M228" s="5" t="s">
        <v>1469</v>
      </c>
      <c r="N228" s="5" t="s">
        <v>1470</v>
      </c>
      <c r="O228" s="5" t="s">
        <v>94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>
        <v>15442</v>
      </c>
      <c r="AB228" s="5">
        <v>5000</v>
      </c>
      <c r="AC228" s="6">
        <v>42852</v>
      </c>
      <c r="AD228" s="5" t="s">
        <v>42</v>
      </c>
      <c r="AE228" s="5" t="s">
        <v>1471</v>
      </c>
      <c r="AF228" s="5">
        <v>720</v>
      </c>
    </row>
    <row r="229" spans="1:32" ht="27.95" x14ac:dyDescent="0.3">
      <c r="A229" s="3">
        <v>223</v>
      </c>
      <c r="B229" s="3" t="str">
        <f>"201900182407"</f>
        <v>201900182407</v>
      </c>
      <c r="C229" s="3" t="str">
        <f>"14637"</f>
        <v>14637</v>
      </c>
      <c r="D229" s="3" t="s">
        <v>1472</v>
      </c>
      <c r="E229" s="3">
        <v>20604303029</v>
      </c>
      <c r="F229" s="3" t="s">
        <v>1056</v>
      </c>
      <c r="G229" s="3" t="s">
        <v>1473</v>
      </c>
      <c r="H229" s="3" t="s">
        <v>58</v>
      </c>
      <c r="I229" s="3" t="s">
        <v>58</v>
      </c>
      <c r="J229" s="3" t="s">
        <v>1338</v>
      </c>
      <c r="K229" s="3" t="s">
        <v>37</v>
      </c>
      <c r="L229" s="3" t="s">
        <v>1474</v>
      </c>
      <c r="M229" s="3" t="s">
        <v>989</v>
      </c>
      <c r="N229" s="3" t="s">
        <v>1475</v>
      </c>
      <c r="O229" s="3" t="s">
        <v>248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>
        <v>19000</v>
      </c>
      <c r="AB229" s="3">
        <v>3000</v>
      </c>
      <c r="AC229" s="4">
        <v>43780</v>
      </c>
      <c r="AD229" s="3" t="s">
        <v>42</v>
      </c>
      <c r="AE229" s="3" t="s">
        <v>1061</v>
      </c>
      <c r="AF229" s="3">
        <v>0</v>
      </c>
    </row>
    <row r="230" spans="1:32" ht="27.95" x14ac:dyDescent="0.3">
      <c r="A230" s="5">
        <v>224</v>
      </c>
      <c r="B230" s="5" t="str">
        <f>"201800041056"</f>
        <v>201800041056</v>
      </c>
      <c r="C230" s="5" t="str">
        <f>"8960"</f>
        <v>8960</v>
      </c>
      <c r="D230" s="5" t="s">
        <v>1476</v>
      </c>
      <c r="E230" s="5">
        <v>20513639652</v>
      </c>
      <c r="F230" s="5" t="s">
        <v>1477</v>
      </c>
      <c r="G230" s="5" t="s">
        <v>1478</v>
      </c>
      <c r="H230" s="5" t="s">
        <v>638</v>
      </c>
      <c r="I230" s="5" t="s">
        <v>639</v>
      </c>
      <c r="J230" s="5" t="s">
        <v>949</v>
      </c>
      <c r="K230" s="5" t="s">
        <v>37</v>
      </c>
      <c r="L230" s="5" t="s">
        <v>1479</v>
      </c>
      <c r="M230" s="5" t="s">
        <v>1479</v>
      </c>
      <c r="N230" s="5" t="s">
        <v>641</v>
      </c>
      <c r="O230" s="5" t="s">
        <v>642</v>
      </c>
      <c r="P230" s="5" t="s">
        <v>154</v>
      </c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32000</v>
      </c>
      <c r="AB230" s="5">
        <v>6000</v>
      </c>
      <c r="AC230" s="6">
        <v>43173</v>
      </c>
      <c r="AD230" s="5" t="s">
        <v>42</v>
      </c>
      <c r="AE230" s="5" t="s">
        <v>1480</v>
      </c>
      <c r="AF230" s="5">
        <v>0</v>
      </c>
    </row>
    <row r="231" spans="1:32" ht="41.95" x14ac:dyDescent="0.3">
      <c r="A231" s="3">
        <v>225</v>
      </c>
      <c r="B231" s="3" t="str">
        <f>"201800041058"</f>
        <v>201800041058</v>
      </c>
      <c r="C231" s="3" t="str">
        <f>"105268"</f>
        <v>105268</v>
      </c>
      <c r="D231" s="3" t="s">
        <v>1481</v>
      </c>
      <c r="E231" s="3">
        <v>20487418278</v>
      </c>
      <c r="F231" s="3" t="s">
        <v>1482</v>
      </c>
      <c r="G231" s="3" t="s">
        <v>1483</v>
      </c>
      <c r="H231" s="3" t="s">
        <v>36</v>
      </c>
      <c r="I231" s="3" t="s">
        <v>409</v>
      </c>
      <c r="J231" s="3" t="s">
        <v>1484</v>
      </c>
      <c r="K231" s="3" t="s">
        <v>37</v>
      </c>
      <c r="L231" s="3" t="s">
        <v>63</v>
      </c>
      <c r="M231" s="3" t="s">
        <v>172</v>
      </c>
      <c r="N231" s="3" t="s">
        <v>285</v>
      </c>
      <c r="O231" s="3" t="s">
        <v>1485</v>
      </c>
      <c r="P231" s="3" t="s">
        <v>94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>
        <v>17500</v>
      </c>
      <c r="AB231" s="3">
        <v>5000</v>
      </c>
      <c r="AC231" s="4">
        <v>43187</v>
      </c>
      <c r="AD231" s="3" t="s">
        <v>42</v>
      </c>
      <c r="AE231" s="3" t="s">
        <v>1486</v>
      </c>
      <c r="AF231" s="3">
        <v>0</v>
      </c>
    </row>
    <row r="232" spans="1:32" ht="41.95" x14ac:dyDescent="0.3">
      <c r="A232" s="5">
        <v>226</v>
      </c>
      <c r="B232" s="5" t="str">
        <f>"201800083681"</f>
        <v>201800083681</v>
      </c>
      <c r="C232" s="5" t="str">
        <f>"92191"</f>
        <v>92191</v>
      </c>
      <c r="D232" s="5" t="s">
        <v>1487</v>
      </c>
      <c r="E232" s="5">
        <v>10164464321</v>
      </c>
      <c r="F232" s="5" t="s">
        <v>1488</v>
      </c>
      <c r="G232" s="5" t="s">
        <v>1489</v>
      </c>
      <c r="H232" s="5" t="s">
        <v>219</v>
      </c>
      <c r="I232" s="5" t="s">
        <v>1365</v>
      </c>
      <c r="J232" s="5" t="s">
        <v>1366</v>
      </c>
      <c r="K232" s="5" t="s">
        <v>37</v>
      </c>
      <c r="L232" s="5" t="s">
        <v>173</v>
      </c>
      <c r="M232" s="5" t="s">
        <v>1367</v>
      </c>
      <c r="N232" s="5" t="s">
        <v>238</v>
      </c>
      <c r="O232" s="5" t="s">
        <v>54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>
        <v>9000</v>
      </c>
      <c r="AB232" s="5">
        <v>4000</v>
      </c>
      <c r="AC232" s="6">
        <v>43248</v>
      </c>
      <c r="AD232" s="5" t="s">
        <v>42</v>
      </c>
      <c r="AE232" s="5" t="s">
        <v>1490</v>
      </c>
      <c r="AF232" s="5">
        <v>0</v>
      </c>
    </row>
    <row r="233" spans="1:32" ht="27.95" x14ac:dyDescent="0.3">
      <c r="A233" s="3">
        <v>227</v>
      </c>
      <c r="B233" s="3" t="str">
        <f>"201700072341"</f>
        <v>201700072341</v>
      </c>
      <c r="C233" s="3" t="str">
        <f>"8987"</f>
        <v>8987</v>
      </c>
      <c r="D233" s="3" t="s">
        <v>1491</v>
      </c>
      <c r="E233" s="3">
        <v>20550781817</v>
      </c>
      <c r="F233" s="3" t="s">
        <v>1492</v>
      </c>
      <c r="G233" s="3" t="s">
        <v>1493</v>
      </c>
      <c r="H233" s="3" t="s">
        <v>58</v>
      </c>
      <c r="I233" s="3" t="s">
        <v>58</v>
      </c>
      <c r="J233" s="3" t="s">
        <v>1338</v>
      </c>
      <c r="K233" s="3" t="s">
        <v>37</v>
      </c>
      <c r="L233" s="3" t="s">
        <v>1494</v>
      </c>
      <c r="M233" s="3" t="s">
        <v>1495</v>
      </c>
      <c r="N233" s="3" t="s">
        <v>248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>
        <v>11000</v>
      </c>
      <c r="AB233" s="3">
        <v>3000</v>
      </c>
      <c r="AC233" s="4">
        <v>42899</v>
      </c>
      <c r="AD233" s="3" t="s">
        <v>42</v>
      </c>
      <c r="AE233" s="3" t="s">
        <v>1496</v>
      </c>
      <c r="AF233" s="3">
        <v>0</v>
      </c>
    </row>
    <row r="234" spans="1:32" ht="27.95" x14ac:dyDescent="0.3">
      <c r="A234" s="5">
        <v>228</v>
      </c>
      <c r="B234" s="5" t="str">
        <f>"201500057972"</f>
        <v>201500057972</v>
      </c>
      <c r="C234" s="5" t="str">
        <f>"82436"</f>
        <v>82436</v>
      </c>
      <c r="D234" s="5" t="s">
        <v>1497</v>
      </c>
      <c r="E234" s="5">
        <v>20517774929</v>
      </c>
      <c r="F234" s="5" t="s">
        <v>1498</v>
      </c>
      <c r="G234" s="5" t="s">
        <v>1499</v>
      </c>
      <c r="H234" s="5" t="s">
        <v>47</v>
      </c>
      <c r="I234" s="5" t="s">
        <v>47</v>
      </c>
      <c r="J234" s="5" t="s">
        <v>47</v>
      </c>
      <c r="K234" s="5" t="s">
        <v>37</v>
      </c>
      <c r="L234" s="5" t="s">
        <v>1500</v>
      </c>
      <c r="M234" s="5" t="s">
        <v>1501</v>
      </c>
      <c r="N234" s="5" t="s">
        <v>1502</v>
      </c>
      <c r="O234" s="5" t="s">
        <v>1503</v>
      </c>
      <c r="P234" s="5" t="s">
        <v>103</v>
      </c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>
        <v>12050</v>
      </c>
      <c r="AB234" s="5">
        <v>2500</v>
      </c>
      <c r="AC234" s="6">
        <v>42138</v>
      </c>
      <c r="AD234" s="5" t="s">
        <v>42</v>
      </c>
      <c r="AE234" s="5" t="s">
        <v>980</v>
      </c>
      <c r="AF234" s="5">
        <v>0</v>
      </c>
    </row>
    <row r="235" spans="1:32" x14ac:dyDescent="0.3">
      <c r="A235" s="3">
        <v>229</v>
      </c>
      <c r="B235" s="3" t="str">
        <f>"202000130367"</f>
        <v>202000130367</v>
      </c>
      <c r="C235" s="3" t="str">
        <f>"8991"</f>
        <v>8991</v>
      </c>
      <c r="D235" s="3" t="s">
        <v>1504</v>
      </c>
      <c r="E235" s="3">
        <v>20450236137</v>
      </c>
      <c r="F235" s="3" t="s">
        <v>1505</v>
      </c>
      <c r="G235" s="3" t="s">
        <v>1506</v>
      </c>
      <c r="H235" s="3" t="s">
        <v>150</v>
      </c>
      <c r="I235" s="3" t="s">
        <v>1244</v>
      </c>
      <c r="J235" s="3" t="s">
        <v>1245</v>
      </c>
      <c r="K235" s="3" t="s">
        <v>37</v>
      </c>
      <c r="L235" s="3" t="s">
        <v>1507</v>
      </c>
      <c r="M235" s="3" t="s">
        <v>1507</v>
      </c>
      <c r="N235" s="3" t="s">
        <v>1507</v>
      </c>
      <c r="O235" s="3" t="s">
        <v>1507</v>
      </c>
      <c r="P235" s="3" t="s">
        <v>1508</v>
      </c>
      <c r="Q235" s="3" t="s">
        <v>1508</v>
      </c>
      <c r="R235" s="3" t="s">
        <v>1509</v>
      </c>
      <c r="S235" s="3" t="s">
        <v>480</v>
      </c>
      <c r="T235" s="3"/>
      <c r="U235" s="3"/>
      <c r="V235" s="3"/>
      <c r="W235" s="3"/>
      <c r="X235" s="3"/>
      <c r="Y235" s="3"/>
      <c r="Z235" s="3"/>
      <c r="AA235" s="3">
        <v>74200</v>
      </c>
      <c r="AB235" s="3">
        <v>7800</v>
      </c>
      <c r="AC235" s="4">
        <v>44109</v>
      </c>
      <c r="AD235" s="3" t="s">
        <v>42</v>
      </c>
      <c r="AE235" s="3" t="s">
        <v>1510</v>
      </c>
      <c r="AF235" s="3">
        <v>0</v>
      </c>
    </row>
    <row r="236" spans="1:32" ht="27.95" x14ac:dyDescent="0.3">
      <c r="A236" s="5">
        <v>230</v>
      </c>
      <c r="B236" s="5" t="str">
        <f>"201800067774"</f>
        <v>201800067774</v>
      </c>
      <c r="C236" s="5" t="str">
        <f>"38158"</f>
        <v>38158</v>
      </c>
      <c r="D236" s="5" t="s">
        <v>1511</v>
      </c>
      <c r="E236" s="5">
        <v>20501420949</v>
      </c>
      <c r="F236" s="5" t="s">
        <v>1512</v>
      </c>
      <c r="G236" s="5" t="s">
        <v>1513</v>
      </c>
      <c r="H236" s="5" t="s">
        <v>58</v>
      </c>
      <c r="I236" s="5" t="s">
        <v>58</v>
      </c>
      <c r="J236" s="5" t="s">
        <v>1026</v>
      </c>
      <c r="K236" s="5" t="s">
        <v>37</v>
      </c>
      <c r="L236" s="5" t="s">
        <v>1514</v>
      </c>
      <c r="M236" s="5" t="s">
        <v>1515</v>
      </c>
      <c r="N236" s="5" t="s">
        <v>129</v>
      </c>
      <c r="O236" s="5" t="s">
        <v>381</v>
      </c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>
        <v>16000</v>
      </c>
      <c r="AB236" s="5">
        <v>2000</v>
      </c>
      <c r="AC236" s="6">
        <v>43215</v>
      </c>
      <c r="AD236" s="5" t="s">
        <v>42</v>
      </c>
      <c r="AE236" s="5" t="s">
        <v>1516</v>
      </c>
      <c r="AF236" s="5">
        <v>240</v>
      </c>
    </row>
    <row r="237" spans="1:32" ht="27.95" x14ac:dyDescent="0.3">
      <c r="A237" s="3">
        <v>231</v>
      </c>
      <c r="B237" s="3" t="str">
        <f>"201800099324"</f>
        <v>201800099324</v>
      </c>
      <c r="C237" s="3" t="str">
        <f>"91742"</f>
        <v>91742</v>
      </c>
      <c r="D237" s="3" t="s">
        <v>1517</v>
      </c>
      <c r="E237" s="3">
        <v>10401854644</v>
      </c>
      <c r="F237" s="3" t="s">
        <v>1518</v>
      </c>
      <c r="G237" s="3" t="s">
        <v>1519</v>
      </c>
      <c r="H237" s="3" t="s">
        <v>108</v>
      </c>
      <c r="I237" s="3" t="s">
        <v>647</v>
      </c>
      <c r="J237" s="3" t="s">
        <v>958</v>
      </c>
      <c r="K237" s="3" t="s">
        <v>37</v>
      </c>
      <c r="L237" s="3" t="s">
        <v>1520</v>
      </c>
      <c r="M237" s="3" t="s">
        <v>120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>
        <v>5150</v>
      </c>
      <c r="AB237" s="3">
        <v>3500</v>
      </c>
      <c r="AC237" s="4">
        <v>43269</v>
      </c>
      <c r="AD237" s="3" t="s">
        <v>42</v>
      </c>
      <c r="AE237" s="3" t="s">
        <v>1518</v>
      </c>
      <c r="AF237" s="3">
        <v>0</v>
      </c>
    </row>
    <row r="238" spans="1:32" ht="27.95" x14ac:dyDescent="0.3">
      <c r="A238" s="5">
        <v>232</v>
      </c>
      <c r="B238" s="5" t="str">
        <f>"202000130366"</f>
        <v>202000130366</v>
      </c>
      <c r="C238" s="5" t="str">
        <f>"119523"</f>
        <v>119523</v>
      </c>
      <c r="D238" s="5" t="s">
        <v>1521</v>
      </c>
      <c r="E238" s="5">
        <v>20506151547</v>
      </c>
      <c r="F238" s="5" t="s">
        <v>1522</v>
      </c>
      <c r="G238" s="5" t="s">
        <v>1523</v>
      </c>
      <c r="H238" s="5" t="s">
        <v>116</v>
      </c>
      <c r="I238" s="5" t="s">
        <v>339</v>
      </c>
      <c r="J238" s="5" t="s">
        <v>340</v>
      </c>
      <c r="K238" s="5" t="s">
        <v>37</v>
      </c>
      <c r="L238" s="5" t="s">
        <v>1524</v>
      </c>
      <c r="M238" s="5" t="s">
        <v>161</v>
      </c>
      <c r="N238" s="5" t="s">
        <v>593</v>
      </c>
      <c r="O238" s="5" t="s">
        <v>120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>
        <v>18000</v>
      </c>
      <c r="AB238" s="5">
        <v>3500</v>
      </c>
      <c r="AC238" s="6">
        <v>44107</v>
      </c>
      <c r="AD238" s="5" t="s">
        <v>42</v>
      </c>
      <c r="AE238" s="5" t="s">
        <v>1525</v>
      </c>
      <c r="AF238" s="5">
        <v>0</v>
      </c>
    </row>
    <row r="239" spans="1:32" ht="27.95" x14ac:dyDescent="0.3">
      <c r="A239" s="3">
        <v>233</v>
      </c>
      <c r="B239" s="3" t="str">
        <f>"201900048929"</f>
        <v>201900048929</v>
      </c>
      <c r="C239" s="3" t="str">
        <f>"134229"</f>
        <v>134229</v>
      </c>
      <c r="D239" s="3" t="s">
        <v>1526</v>
      </c>
      <c r="E239" s="3">
        <v>20600619706</v>
      </c>
      <c r="F239" s="3" t="s">
        <v>1527</v>
      </c>
      <c r="G239" s="3" t="s">
        <v>1528</v>
      </c>
      <c r="H239" s="3" t="s">
        <v>125</v>
      </c>
      <c r="I239" s="3" t="s">
        <v>1176</v>
      </c>
      <c r="J239" s="3" t="s">
        <v>1177</v>
      </c>
      <c r="K239" s="3" t="s">
        <v>37</v>
      </c>
      <c r="L239" s="3" t="s">
        <v>1529</v>
      </c>
      <c r="M239" s="3" t="s">
        <v>1530</v>
      </c>
      <c r="N239" s="3" t="s">
        <v>278</v>
      </c>
      <c r="O239" s="3" t="s">
        <v>94</v>
      </c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>
        <v>13000</v>
      </c>
      <c r="AB239" s="3">
        <v>5000</v>
      </c>
      <c r="AC239" s="4">
        <v>43553</v>
      </c>
      <c r="AD239" s="3" t="s">
        <v>42</v>
      </c>
      <c r="AE239" s="3" t="s">
        <v>1531</v>
      </c>
      <c r="AF239" s="3">
        <v>0</v>
      </c>
    </row>
    <row r="240" spans="1:32" ht="27.95" x14ac:dyDescent="0.3">
      <c r="A240" s="5">
        <v>234</v>
      </c>
      <c r="B240" s="5" t="str">
        <f>"201800009037"</f>
        <v>201800009037</v>
      </c>
      <c r="C240" s="5" t="str">
        <f>"21054"</f>
        <v>21054</v>
      </c>
      <c r="D240" s="5" t="s">
        <v>1532</v>
      </c>
      <c r="E240" s="5">
        <v>20127765279</v>
      </c>
      <c r="F240" s="5" t="s">
        <v>1115</v>
      </c>
      <c r="G240" s="5" t="s">
        <v>1533</v>
      </c>
      <c r="H240" s="5" t="s">
        <v>58</v>
      </c>
      <c r="I240" s="5" t="s">
        <v>58</v>
      </c>
      <c r="J240" s="5" t="s">
        <v>1373</v>
      </c>
      <c r="K240" s="5" t="s">
        <v>37</v>
      </c>
      <c r="L240" s="5" t="s">
        <v>171</v>
      </c>
      <c r="M240" s="5" t="s">
        <v>1534</v>
      </c>
      <c r="N240" s="5" t="s">
        <v>65</v>
      </c>
      <c r="O240" s="5" t="s">
        <v>1535</v>
      </c>
      <c r="P240" s="5" t="s">
        <v>248</v>
      </c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>
        <v>22092</v>
      </c>
      <c r="AB240" s="5">
        <v>3000</v>
      </c>
      <c r="AC240" s="6">
        <v>43123</v>
      </c>
      <c r="AD240" s="5" t="s">
        <v>42</v>
      </c>
      <c r="AE240" s="5" t="s">
        <v>1374</v>
      </c>
      <c r="AF240" s="5">
        <v>240</v>
      </c>
    </row>
    <row r="241" spans="1:32" ht="27.95" x14ac:dyDescent="0.3">
      <c r="A241" s="3">
        <v>235</v>
      </c>
      <c r="B241" s="3" t="str">
        <f>"201800174525"</f>
        <v>201800174525</v>
      </c>
      <c r="C241" s="3" t="str">
        <f>"15714"</f>
        <v>15714</v>
      </c>
      <c r="D241" s="3" t="s">
        <v>1536</v>
      </c>
      <c r="E241" s="3">
        <v>20396658837</v>
      </c>
      <c r="F241" s="3" t="s">
        <v>1537</v>
      </c>
      <c r="G241" s="3" t="s">
        <v>1538</v>
      </c>
      <c r="H241" s="3" t="s">
        <v>219</v>
      </c>
      <c r="I241" s="3" t="s">
        <v>220</v>
      </c>
      <c r="J241" s="3" t="s">
        <v>1539</v>
      </c>
      <c r="K241" s="3" t="s">
        <v>37</v>
      </c>
      <c r="L241" s="3" t="s">
        <v>174</v>
      </c>
      <c r="M241" s="3" t="s">
        <v>102</v>
      </c>
      <c r="N241" s="3" t="s">
        <v>102</v>
      </c>
      <c r="O241" s="3" t="s">
        <v>459</v>
      </c>
      <c r="P241" s="3" t="s">
        <v>459</v>
      </c>
      <c r="Q241" s="3" t="s">
        <v>555</v>
      </c>
      <c r="R241" s="3" t="s">
        <v>94</v>
      </c>
      <c r="S241" s="3"/>
      <c r="T241" s="3"/>
      <c r="U241" s="3"/>
      <c r="V241" s="3"/>
      <c r="W241" s="3"/>
      <c r="X241" s="3"/>
      <c r="Y241" s="3"/>
      <c r="Z241" s="3"/>
      <c r="AA241" s="3">
        <v>23000</v>
      </c>
      <c r="AB241" s="3">
        <v>5000</v>
      </c>
      <c r="AC241" s="4">
        <v>43411</v>
      </c>
      <c r="AD241" s="3" t="s">
        <v>42</v>
      </c>
      <c r="AE241" s="3" t="s">
        <v>1540</v>
      </c>
      <c r="AF241" s="3">
        <v>500</v>
      </c>
    </row>
    <row r="242" spans="1:32" x14ac:dyDescent="0.3">
      <c r="A242" s="5">
        <v>236</v>
      </c>
      <c r="B242" s="5" t="str">
        <f>"201900025912"</f>
        <v>201900025912</v>
      </c>
      <c r="C242" s="5" t="str">
        <f>"8095"</f>
        <v>8095</v>
      </c>
      <c r="D242" s="5" t="s">
        <v>1541</v>
      </c>
      <c r="E242" s="5">
        <v>20127765279</v>
      </c>
      <c r="F242" s="5" t="s">
        <v>1115</v>
      </c>
      <c r="G242" s="5" t="s">
        <v>1542</v>
      </c>
      <c r="H242" s="5" t="s">
        <v>89</v>
      </c>
      <c r="I242" s="5" t="s">
        <v>89</v>
      </c>
      <c r="J242" s="5" t="s">
        <v>834</v>
      </c>
      <c r="K242" s="5" t="s">
        <v>37</v>
      </c>
      <c r="L242" s="5" t="s">
        <v>51</v>
      </c>
      <c r="M242" s="5" t="s">
        <v>102</v>
      </c>
      <c r="N242" s="5" t="s">
        <v>398</v>
      </c>
      <c r="O242" s="5" t="s">
        <v>171</v>
      </c>
      <c r="P242" s="5" t="s">
        <v>103</v>
      </c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>
        <v>17000</v>
      </c>
      <c r="AB242" s="5">
        <v>2500</v>
      </c>
      <c r="AC242" s="6">
        <v>43517</v>
      </c>
      <c r="AD242" s="5" t="s">
        <v>42</v>
      </c>
      <c r="AE242" s="5" t="s">
        <v>279</v>
      </c>
      <c r="AF242" s="5">
        <v>0</v>
      </c>
    </row>
    <row r="243" spans="1:32" ht="27.95" x14ac:dyDescent="0.3">
      <c r="A243" s="3">
        <v>237</v>
      </c>
      <c r="B243" s="3" t="str">
        <f>"202000067885"</f>
        <v>202000067885</v>
      </c>
      <c r="C243" s="3" t="str">
        <f>"96397"</f>
        <v>96397</v>
      </c>
      <c r="D243" s="3" t="s">
        <v>1543</v>
      </c>
      <c r="E243" s="3">
        <v>20492716112</v>
      </c>
      <c r="F243" s="3" t="s">
        <v>1544</v>
      </c>
      <c r="G243" s="3" t="s">
        <v>1545</v>
      </c>
      <c r="H243" s="3" t="s">
        <v>329</v>
      </c>
      <c r="I243" s="3" t="s">
        <v>329</v>
      </c>
      <c r="J243" s="3" t="s">
        <v>1546</v>
      </c>
      <c r="K243" s="3" t="s">
        <v>37</v>
      </c>
      <c r="L243" s="3" t="s">
        <v>825</v>
      </c>
      <c r="M243" s="3" t="s">
        <v>367</v>
      </c>
      <c r="N243" s="3" t="s">
        <v>1163</v>
      </c>
      <c r="O243" s="3" t="s">
        <v>248</v>
      </c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>
        <v>4000</v>
      </c>
      <c r="AB243" s="3">
        <v>3000</v>
      </c>
      <c r="AC243" s="4">
        <v>44082</v>
      </c>
      <c r="AD243" s="3" t="s">
        <v>42</v>
      </c>
      <c r="AE243" s="3" t="s">
        <v>1547</v>
      </c>
      <c r="AF243" s="3">
        <v>480</v>
      </c>
    </row>
    <row r="244" spans="1:32" x14ac:dyDescent="0.3">
      <c r="A244" s="5">
        <v>238</v>
      </c>
      <c r="B244" s="5" t="str">
        <f>"201700007520"</f>
        <v>201700007520</v>
      </c>
      <c r="C244" s="5" t="str">
        <f>"39235"</f>
        <v>39235</v>
      </c>
      <c r="D244" s="5" t="s">
        <v>1548</v>
      </c>
      <c r="E244" s="5">
        <v>10105511154</v>
      </c>
      <c r="F244" s="5" t="s">
        <v>1549</v>
      </c>
      <c r="G244" s="5" t="s">
        <v>1550</v>
      </c>
      <c r="H244" s="5" t="s">
        <v>125</v>
      </c>
      <c r="I244" s="5" t="s">
        <v>125</v>
      </c>
      <c r="J244" s="5" t="s">
        <v>125</v>
      </c>
      <c r="K244" s="5" t="s">
        <v>37</v>
      </c>
      <c r="L244" s="5" t="s">
        <v>50</v>
      </c>
      <c r="M244" s="5" t="s">
        <v>152</v>
      </c>
      <c r="N244" s="5" t="s">
        <v>161</v>
      </c>
      <c r="O244" s="5" t="s">
        <v>411</v>
      </c>
      <c r="P244" s="5" t="s">
        <v>411</v>
      </c>
      <c r="Q244" s="5" t="s">
        <v>1551</v>
      </c>
      <c r="R244" s="5" t="s">
        <v>94</v>
      </c>
      <c r="S244" s="5"/>
      <c r="T244" s="5"/>
      <c r="U244" s="5"/>
      <c r="V244" s="5"/>
      <c r="W244" s="5"/>
      <c r="X244" s="5"/>
      <c r="Y244" s="5"/>
      <c r="Z244" s="5"/>
      <c r="AA244" s="5">
        <v>29500</v>
      </c>
      <c r="AB244" s="5">
        <v>5000</v>
      </c>
      <c r="AC244" s="6">
        <v>42754</v>
      </c>
      <c r="AD244" s="5" t="s">
        <v>42</v>
      </c>
      <c r="AE244" s="5" t="s">
        <v>1549</v>
      </c>
      <c r="AF244" s="5">
        <v>0</v>
      </c>
    </row>
    <row r="245" spans="1:32" x14ac:dyDescent="0.3">
      <c r="A245" s="3">
        <v>239</v>
      </c>
      <c r="B245" s="3" t="str">
        <f>"201900185423"</f>
        <v>201900185423</v>
      </c>
      <c r="C245" s="3" t="str">
        <f>"105207"</f>
        <v>105207</v>
      </c>
      <c r="D245" s="3" t="s">
        <v>1552</v>
      </c>
      <c r="E245" s="3">
        <v>20514636843</v>
      </c>
      <c r="F245" s="3" t="s">
        <v>1553</v>
      </c>
      <c r="G245" s="3" t="s">
        <v>1554</v>
      </c>
      <c r="H245" s="3" t="s">
        <v>187</v>
      </c>
      <c r="I245" s="3" t="s">
        <v>187</v>
      </c>
      <c r="J245" s="3" t="s">
        <v>187</v>
      </c>
      <c r="K245" s="3" t="s">
        <v>37</v>
      </c>
      <c r="L245" s="3" t="s">
        <v>296</v>
      </c>
      <c r="M245" s="3" t="s">
        <v>74</v>
      </c>
      <c r="N245" s="3" t="s">
        <v>76</v>
      </c>
      <c r="O245" s="3" t="s">
        <v>172</v>
      </c>
      <c r="P245" s="3" t="s">
        <v>94</v>
      </c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>
        <v>11000</v>
      </c>
      <c r="AB245" s="3">
        <v>5000</v>
      </c>
      <c r="AC245" s="4">
        <v>43784</v>
      </c>
      <c r="AD245" s="3" t="s">
        <v>42</v>
      </c>
      <c r="AE245" s="3" t="s">
        <v>1555</v>
      </c>
      <c r="AF245" s="3">
        <v>0</v>
      </c>
    </row>
    <row r="246" spans="1:32" x14ac:dyDescent="0.3">
      <c r="A246" s="5">
        <v>240</v>
      </c>
      <c r="B246" s="5" t="str">
        <f>"201800199648"</f>
        <v>201800199648</v>
      </c>
      <c r="C246" s="5" t="str">
        <f>"121854"</f>
        <v>121854</v>
      </c>
      <c r="D246" s="5" t="s">
        <v>1556</v>
      </c>
      <c r="E246" s="5">
        <v>20561111741</v>
      </c>
      <c r="F246" s="5" t="s">
        <v>1557</v>
      </c>
      <c r="G246" s="5" t="s">
        <v>1558</v>
      </c>
      <c r="H246" s="5" t="s">
        <v>36</v>
      </c>
      <c r="I246" s="5" t="s">
        <v>409</v>
      </c>
      <c r="J246" s="5" t="s">
        <v>410</v>
      </c>
      <c r="K246" s="5" t="s">
        <v>37</v>
      </c>
      <c r="L246" s="5" t="s">
        <v>1559</v>
      </c>
      <c r="M246" s="5" t="s">
        <v>1307</v>
      </c>
      <c r="N246" s="5" t="s">
        <v>464</v>
      </c>
      <c r="O246" s="5" t="s">
        <v>78</v>
      </c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>
        <v>9900</v>
      </c>
      <c r="AB246" s="5">
        <v>3200</v>
      </c>
      <c r="AC246" s="6">
        <v>43440</v>
      </c>
      <c r="AD246" s="5" t="s">
        <v>42</v>
      </c>
      <c r="AE246" s="5" t="s">
        <v>1560</v>
      </c>
      <c r="AF246" s="5">
        <v>0</v>
      </c>
    </row>
    <row r="247" spans="1:32" ht="27.95" x14ac:dyDescent="0.3">
      <c r="A247" s="3">
        <v>241</v>
      </c>
      <c r="B247" s="3" t="str">
        <f>"201800201857"</f>
        <v>201800201857</v>
      </c>
      <c r="C247" s="3" t="str">
        <f>"41255"</f>
        <v>41255</v>
      </c>
      <c r="D247" s="3" t="s">
        <v>1561</v>
      </c>
      <c r="E247" s="3">
        <v>20489452015</v>
      </c>
      <c r="F247" s="3" t="s">
        <v>1562</v>
      </c>
      <c r="G247" s="3" t="s">
        <v>1563</v>
      </c>
      <c r="H247" s="3" t="s">
        <v>125</v>
      </c>
      <c r="I247" s="3" t="s">
        <v>125</v>
      </c>
      <c r="J247" s="3" t="s">
        <v>1159</v>
      </c>
      <c r="K247" s="3" t="s">
        <v>37</v>
      </c>
      <c r="L247" s="3" t="s">
        <v>172</v>
      </c>
      <c r="M247" s="3" t="s">
        <v>628</v>
      </c>
      <c r="N247" s="3" t="s">
        <v>94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>
        <v>10000</v>
      </c>
      <c r="AB247" s="3">
        <v>5000</v>
      </c>
      <c r="AC247" s="4">
        <v>43453</v>
      </c>
      <c r="AD247" s="3" t="s">
        <v>42</v>
      </c>
      <c r="AE247" s="3" t="s">
        <v>1564</v>
      </c>
      <c r="AF247" s="3">
        <v>0</v>
      </c>
    </row>
    <row r="248" spans="1:32" ht="27.95" x14ac:dyDescent="0.3">
      <c r="A248" s="5">
        <v>242</v>
      </c>
      <c r="B248" s="5" t="str">
        <f>"201900107293"</f>
        <v>201900107293</v>
      </c>
      <c r="C248" s="5" t="str">
        <f>"96095"</f>
        <v>96095</v>
      </c>
      <c r="D248" s="5" t="s">
        <v>1565</v>
      </c>
      <c r="E248" s="5">
        <v>20568796684</v>
      </c>
      <c r="F248" s="5" t="s">
        <v>1566</v>
      </c>
      <c r="G248" s="5" t="s">
        <v>1567</v>
      </c>
      <c r="H248" s="5" t="s">
        <v>108</v>
      </c>
      <c r="I248" s="5" t="s">
        <v>144</v>
      </c>
      <c r="J248" s="5" t="s">
        <v>145</v>
      </c>
      <c r="K248" s="5" t="s">
        <v>37</v>
      </c>
      <c r="L248" s="5" t="s">
        <v>63</v>
      </c>
      <c r="M248" s="5" t="s">
        <v>1568</v>
      </c>
      <c r="N248" s="5" t="s">
        <v>94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>
        <v>12000</v>
      </c>
      <c r="AB248" s="5">
        <v>5000</v>
      </c>
      <c r="AC248" s="6">
        <v>43655</v>
      </c>
      <c r="AD248" s="5" t="s">
        <v>42</v>
      </c>
      <c r="AE248" s="5" t="s">
        <v>1569</v>
      </c>
      <c r="AF248" s="5">
        <v>720</v>
      </c>
    </row>
    <row r="249" spans="1:32" ht="27.95" x14ac:dyDescent="0.3">
      <c r="A249" s="3">
        <v>243</v>
      </c>
      <c r="B249" s="3" t="str">
        <f>"201600114890"</f>
        <v>201600114890</v>
      </c>
      <c r="C249" s="3" t="str">
        <f>"16780"</f>
        <v>16780</v>
      </c>
      <c r="D249" s="3" t="s">
        <v>1570</v>
      </c>
      <c r="E249" s="3">
        <v>20503840121</v>
      </c>
      <c r="F249" s="3" t="s">
        <v>442</v>
      </c>
      <c r="G249" s="3" t="s">
        <v>1571</v>
      </c>
      <c r="H249" s="3" t="s">
        <v>36</v>
      </c>
      <c r="I249" s="3" t="s">
        <v>409</v>
      </c>
      <c r="J249" s="3" t="s">
        <v>410</v>
      </c>
      <c r="K249" s="3" t="s">
        <v>37</v>
      </c>
      <c r="L249" s="3" t="s">
        <v>162</v>
      </c>
      <c r="M249" s="3" t="s">
        <v>161</v>
      </c>
      <c r="N249" s="3" t="s">
        <v>263</v>
      </c>
      <c r="O249" s="3" t="s">
        <v>593</v>
      </c>
      <c r="P249" s="3" t="s">
        <v>593</v>
      </c>
      <c r="Q249" s="3" t="s">
        <v>398</v>
      </c>
      <c r="R249" s="3" t="s">
        <v>390</v>
      </c>
      <c r="S249" s="3"/>
      <c r="T249" s="3"/>
      <c r="U249" s="3"/>
      <c r="V249" s="3"/>
      <c r="W249" s="3"/>
      <c r="X249" s="3"/>
      <c r="Y249" s="3"/>
      <c r="Z249" s="3"/>
      <c r="AA249" s="3">
        <v>33000</v>
      </c>
      <c r="AB249" s="3">
        <v>5200</v>
      </c>
      <c r="AC249" s="4">
        <v>42594</v>
      </c>
      <c r="AD249" s="3" t="s">
        <v>42</v>
      </c>
      <c r="AE249" s="3" t="s">
        <v>399</v>
      </c>
      <c r="AF249" s="3">
        <v>0</v>
      </c>
    </row>
    <row r="250" spans="1:32" x14ac:dyDescent="0.3">
      <c r="A250" s="5">
        <v>244</v>
      </c>
      <c r="B250" s="5" t="str">
        <f>"201500094766"</f>
        <v>201500094766</v>
      </c>
      <c r="C250" s="5" t="str">
        <f>"7075"</f>
        <v>7075</v>
      </c>
      <c r="D250" s="5" t="s">
        <v>1572</v>
      </c>
      <c r="E250" s="5">
        <v>20122386229</v>
      </c>
      <c r="F250" s="5" t="s">
        <v>1573</v>
      </c>
      <c r="G250" s="5" t="s">
        <v>1574</v>
      </c>
      <c r="H250" s="5" t="s">
        <v>58</v>
      </c>
      <c r="I250" s="5" t="s">
        <v>58</v>
      </c>
      <c r="J250" s="5" t="s">
        <v>410</v>
      </c>
      <c r="K250" s="5" t="s">
        <v>37</v>
      </c>
      <c r="L250" s="5" t="s">
        <v>775</v>
      </c>
      <c r="M250" s="5" t="s">
        <v>775</v>
      </c>
      <c r="N250" s="5" t="s">
        <v>775</v>
      </c>
      <c r="O250" s="5" t="s">
        <v>1278</v>
      </c>
      <c r="P250" s="5" t="s">
        <v>164</v>
      </c>
      <c r="Q250" s="5" t="s">
        <v>232</v>
      </c>
      <c r="R250" s="5" t="s">
        <v>164</v>
      </c>
      <c r="S250" s="5" t="s">
        <v>166</v>
      </c>
      <c r="T250" s="5" t="s">
        <v>54</v>
      </c>
      <c r="U250" s="5"/>
      <c r="V250" s="5"/>
      <c r="W250" s="5"/>
      <c r="X250" s="5"/>
      <c r="Y250" s="5"/>
      <c r="Z250" s="5"/>
      <c r="AA250" s="5">
        <v>64000</v>
      </c>
      <c r="AB250" s="5">
        <v>4000</v>
      </c>
      <c r="AC250" s="6">
        <v>42219</v>
      </c>
      <c r="AD250" s="5" t="s">
        <v>42</v>
      </c>
      <c r="AE250" s="5" t="s">
        <v>1575</v>
      </c>
      <c r="AF250" s="5">
        <v>240</v>
      </c>
    </row>
    <row r="251" spans="1:32" x14ac:dyDescent="0.3">
      <c r="A251" s="3">
        <v>245</v>
      </c>
      <c r="B251" s="3" t="str">
        <f>"201700008408"</f>
        <v>201700008408</v>
      </c>
      <c r="C251" s="3" t="str">
        <f>"19969"</f>
        <v>19969</v>
      </c>
      <c r="D251" s="3" t="s">
        <v>1576</v>
      </c>
      <c r="E251" s="3">
        <v>20273363026</v>
      </c>
      <c r="F251" s="3" t="s">
        <v>1577</v>
      </c>
      <c r="G251" s="3" t="s">
        <v>1578</v>
      </c>
      <c r="H251" s="3" t="s">
        <v>58</v>
      </c>
      <c r="I251" s="3" t="s">
        <v>58</v>
      </c>
      <c r="J251" s="3" t="s">
        <v>99</v>
      </c>
      <c r="K251" s="3" t="s">
        <v>37</v>
      </c>
      <c r="L251" s="3" t="s">
        <v>72</v>
      </c>
      <c r="M251" s="3" t="s">
        <v>72</v>
      </c>
      <c r="N251" s="3" t="s">
        <v>61</v>
      </c>
      <c r="O251" s="3" t="s">
        <v>72</v>
      </c>
      <c r="P251" s="3" t="s">
        <v>60</v>
      </c>
      <c r="Q251" s="3" t="s">
        <v>53</v>
      </c>
      <c r="R251" s="3" t="s">
        <v>78</v>
      </c>
      <c r="S251" s="3"/>
      <c r="T251" s="3"/>
      <c r="U251" s="3"/>
      <c r="V251" s="3"/>
      <c r="W251" s="3"/>
      <c r="X251" s="3"/>
      <c r="Y251" s="3"/>
      <c r="Z251" s="3"/>
      <c r="AA251" s="3">
        <v>48000</v>
      </c>
      <c r="AB251" s="3">
        <v>3200</v>
      </c>
      <c r="AC251" s="4">
        <v>42759</v>
      </c>
      <c r="AD251" s="3" t="s">
        <v>42</v>
      </c>
      <c r="AE251" s="3" t="s">
        <v>1579</v>
      </c>
      <c r="AF251" s="3">
        <v>0</v>
      </c>
    </row>
    <row r="252" spans="1:32" ht="27.95" x14ac:dyDescent="0.3">
      <c r="A252" s="5">
        <v>246</v>
      </c>
      <c r="B252" s="5" t="str">
        <f>"201800115685"</f>
        <v>201800115685</v>
      </c>
      <c r="C252" s="5" t="str">
        <f>"137461"</f>
        <v>137461</v>
      </c>
      <c r="D252" s="5" t="s">
        <v>1580</v>
      </c>
      <c r="E252" s="5">
        <v>20552172621</v>
      </c>
      <c r="F252" s="5" t="s">
        <v>1581</v>
      </c>
      <c r="G252" s="5" t="s">
        <v>1582</v>
      </c>
      <c r="H252" s="5" t="s">
        <v>47</v>
      </c>
      <c r="I252" s="5" t="s">
        <v>159</v>
      </c>
      <c r="J252" s="5" t="s">
        <v>160</v>
      </c>
      <c r="K252" s="5" t="s">
        <v>37</v>
      </c>
      <c r="L252" s="5" t="s">
        <v>72</v>
      </c>
      <c r="M252" s="5" t="s">
        <v>499</v>
      </c>
      <c r="N252" s="5" t="s">
        <v>1583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16000</v>
      </c>
      <c r="AB252" s="5">
        <v>9200</v>
      </c>
      <c r="AC252" s="6">
        <v>43301</v>
      </c>
      <c r="AD252" s="5" t="s">
        <v>42</v>
      </c>
      <c r="AE252" s="5" t="s">
        <v>1584</v>
      </c>
      <c r="AF252" s="5">
        <v>0</v>
      </c>
    </row>
    <row r="253" spans="1:32" ht="27.95" x14ac:dyDescent="0.3">
      <c r="A253" s="3">
        <v>247</v>
      </c>
      <c r="B253" s="3" t="str">
        <f>"202000056144"</f>
        <v>202000056144</v>
      </c>
      <c r="C253" s="3" t="str">
        <f>"106433"</f>
        <v>106433</v>
      </c>
      <c r="D253" s="3" t="s">
        <v>1585</v>
      </c>
      <c r="E253" s="3">
        <v>20539266579</v>
      </c>
      <c r="F253" s="3" t="s">
        <v>1586</v>
      </c>
      <c r="G253" s="3" t="s">
        <v>1587</v>
      </c>
      <c r="H253" s="3" t="s">
        <v>436</v>
      </c>
      <c r="I253" s="3" t="s">
        <v>1588</v>
      </c>
      <c r="J253" s="3" t="s">
        <v>1589</v>
      </c>
      <c r="K253" s="3" t="s">
        <v>37</v>
      </c>
      <c r="L253" s="3" t="s">
        <v>63</v>
      </c>
      <c r="M253" s="3" t="s">
        <v>1590</v>
      </c>
      <c r="N253" s="3" t="s">
        <v>381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>
        <v>11000</v>
      </c>
      <c r="AB253" s="3">
        <v>2000</v>
      </c>
      <c r="AC253" s="4">
        <v>43964</v>
      </c>
      <c r="AD253" s="3" t="s">
        <v>42</v>
      </c>
      <c r="AE253" s="3" t="s">
        <v>440</v>
      </c>
      <c r="AF253" s="3">
        <v>480</v>
      </c>
    </row>
    <row r="254" spans="1:32" ht="27.95" x14ac:dyDescent="0.3">
      <c r="A254" s="5">
        <v>248</v>
      </c>
      <c r="B254" s="5" t="str">
        <f>"202000067605"</f>
        <v>202000067605</v>
      </c>
      <c r="C254" s="5" t="str">
        <f>"149298"</f>
        <v>149298</v>
      </c>
      <c r="D254" s="5" t="s">
        <v>1591</v>
      </c>
      <c r="E254" s="5">
        <v>20605836861</v>
      </c>
      <c r="F254" s="5" t="s">
        <v>1592</v>
      </c>
      <c r="G254" s="5" t="s">
        <v>1593</v>
      </c>
      <c r="H254" s="5" t="s">
        <v>125</v>
      </c>
      <c r="I254" s="5" t="s">
        <v>509</v>
      </c>
      <c r="J254" s="5" t="s">
        <v>1594</v>
      </c>
      <c r="K254" s="5" t="s">
        <v>37</v>
      </c>
      <c r="L254" s="5" t="s">
        <v>102</v>
      </c>
      <c r="M254" s="5" t="s">
        <v>51</v>
      </c>
      <c r="N254" s="5" t="s">
        <v>555</v>
      </c>
      <c r="O254" s="5" t="s">
        <v>94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>
        <v>13000</v>
      </c>
      <c r="AB254" s="5">
        <v>5000</v>
      </c>
      <c r="AC254" s="6">
        <v>44020</v>
      </c>
      <c r="AD254" s="5" t="s">
        <v>42</v>
      </c>
      <c r="AE254" s="5" t="s">
        <v>1595</v>
      </c>
      <c r="AF254" s="5">
        <v>0</v>
      </c>
    </row>
    <row r="255" spans="1:32" x14ac:dyDescent="0.3">
      <c r="A255" s="3">
        <v>249</v>
      </c>
      <c r="B255" s="3" t="str">
        <f>"201800024980"</f>
        <v>201800024980</v>
      </c>
      <c r="C255" s="3" t="str">
        <f>"19893"</f>
        <v>19893</v>
      </c>
      <c r="D255" s="3" t="s">
        <v>1596</v>
      </c>
      <c r="E255" s="3">
        <v>20547288166</v>
      </c>
      <c r="F255" s="3" t="s">
        <v>1597</v>
      </c>
      <c r="G255" s="3" t="s">
        <v>1598</v>
      </c>
      <c r="H255" s="3" t="s">
        <v>47</v>
      </c>
      <c r="I255" s="3" t="s">
        <v>290</v>
      </c>
      <c r="J255" s="3" t="s">
        <v>626</v>
      </c>
      <c r="K255" s="3" t="s">
        <v>37</v>
      </c>
      <c r="L255" s="3" t="s">
        <v>74</v>
      </c>
      <c r="M255" s="3" t="s">
        <v>76</v>
      </c>
      <c r="N255" s="3" t="s">
        <v>74</v>
      </c>
      <c r="O255" s="3" t="s">
        <v>72</v>
      </c>
      <c r="P255" s="3" t="s">
        <v>66</v>
      </c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>
        <v>16000</v>
      </c>
      <c r="AB255" s="3">
        <v>4500</v>
      </c>
      <c r="AC255" s="4">
        <v>43144</v>
      </c>
      <c r="AD255" s="3" t="s">
        <v>42</v>
      </c>
      <c r="AE255" s="3" t="s">
        <v>1599</v>
      </c>
      <c r="AF255" s="3">
        <v>480</v>
      </c>
    </row>
    <row r="256" spans="1:32" x14ac:dyDescent="0.3">
      <c r="A256" s="5">
        <v>250</v>
      </c>
      <c r="B256" s="5" t="str">
        <f>"201800034497"</f>
        <v>201800034497</v>
      </c>
      <c r="C256" s="5" t="str">
        <f>"21399"</f>
        <v>21399</v>
      </c>
      <c r="D256" s="5" t="s">
        <v>1600</v>
      </c>
      <c r="E256" s="5">
        <v>20498140620</v>
      </c>
      <c r="F256" s="5" t="s">
        <v>1601</v>
      </c>
      <c r="G256" s="5" t="s">
        <v>1602</v>
      </c>
      <c r="H256" s="5" t="s">
        <v>89</v>
      </c>
      <c r="I256" s="5" t="s">
        <v>89</v>
      </c>
      <c r="J256" s="5" t="s">
        <v>309</v>
      </c>
      <c r="K256" s="5" t="s">
        <v>37</v>
      </c>
      <c r="L256" s="5" t="s">
        <v>1603</v>
      </c>
      <c r="M256" s="5" t="s">
        <v>1604</v>
      </c>
      <c r="N256" s="5" t="s">
        <v>1605</v>
      </c>
      <c r="O256" s="5" t="s">
        <v>1606</v>
      </c>
      <c r="P256" s="5" t="s">
        <v>1607</v>
      </c>
      <c r="Q256" s="5" t="s">
        <v>1044</v>
      </c>
      <c r="R256" s="5"/>
      <c r="S256" s="5"/>
      <c r="T256" s="5"/>
      <c r="U256" s="5"/>
      <c r="V256" s="5"/>
      <c r="W256" s="5"/>
      <c r="X256" s="5"/>
      <c r="Y256" s="5"/>
      <c r="Z256" s="5"/>
      <c r="AA256" s="5">
        <v>23149</v>
      </c>
      <c r="AB256" s="5">
        <v>1500</v>
      </c>
      <c r="AC256" s="6">
        <v>43160</v>
      </c>
      <c r="AD256" s="5" t="s">
        <v>42</v>
      </c>
      <c r="AE256" s="5" t="s">
        <v>1608</v>
      </c>
      <c r="AF256" s="5">
        <v>0</v>
      </c>
    </row>
    <row r="257" spans="1:32" x14ac:dyDescent="0.3">
      <c r="A257" s="3">
        <v>251</v>
      </c>
      <c r="B257" s="3" t="str">
        <f>"201900092250"</f>
        <v>201900092250</v>
      </c>
      <c r="C257" s="3" t="str">
        <f>"6978"</f>
        <v>6978</v>
      </c>
      <c r="D257" s="3" t="s">
        <v>1609</v>
      </c>
      <c r="E257" s="3">
        <v>20127765279</v>
      </c>
      <c r="F257" s="3" t="s">
        <v>1115</v>
      </c>
      <c r="G257" s="3" t="s">
        <v>1610</v>
      </c>
      <c r="H257" s="3" t="s">
        <v>47</v>
      </c>
      <c r="I257" s="3" t="s">
        <v>159</v>
      </c>
      <c r="J257" s="3" t="s">
        <v>160</v>
      </c>
      <c r="K257" s="3" t="s">
        <v>37</v>
      </c>
      <c r="L257" s="3" t="s">
        <v>72</v>
      </c>
      <c r="M257" s="3" t="s">
        <v>505</v>
      </c>
      <c r="N257" s="3" t="s">
        <v>60</v>
      </c>
      <c r="O257" s="3" t="s">
        <v>248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>
        <v>24000</v>
      </c>
      <c r="AB257" s="3">
        <v>3000</v>
      </c>
      <c r="AC257" s="4">
        <v>43625</v>
      </c>
      <c r="AD257" s="3" t="s">
        <v>42</v>
      </c>
      <c r="AE257" s="3" t="s">
        <v>1611</v>
      </c>
      <c r="AF257" s="3">
        <v>240</v>
      </c>
    </row>
    <row r="258" spans="1:32" x14ac:dyDescent="0.3">
      <c r="A258" s="5">
        <v>252</v>
      </c>
      <c r="B258" s="5" t="str">
        <f>"201600163671"</f>
        <v>201600163671</v>
      </c>
      <c r="C258" s="5" t="str">
        <f>"15389"</f>
        <v>15389</v>
      </c>
      <c r="D258" s="5" t="s">
        <v>1612</v>
      </c>
      <c r="E258" s="5">
        <v>20368790509</v>
      </c>
      <c r="F258" s="5" t="s">
        <v>1613</v>
      </c>
      <c r="G258" s="5" t="s">
        <v>1614</v>
      </c>
      <c r="H258" s="5" t="s">
        <v>134</v>
      </c>
      <c r="I258" s="5" t="s">
        <v>135</v>
      </c>
      <c r="J258" s="5" t="s">
        <v>135</v>
      </c>
      <c r="K258" s="5" t="s">
        <v>37</v>
      </c>
      <c r="L258" s="5" t="s">
        <v>74</v>
      </c>
      <c r="M258" s="5" t="s">
        <v>1615</v>
      </c>
      <c r="N258" s="5" t="s">
        <v>1616</v>
      </c>
      <c r="O258" s="5" t="s">
        <v>555</v>
      </c>
      <c r="P258" s="5" t="s">
        <v>1530</v>
      </c>
      <c r="Q258" s="5" t="s">
        <v>912</v>
      </c>
      <c r="R258" s="5"/>
      <c r="S258" s="5"/>
      <c r="T258" s="5"/>
      <c r="U258" s="5"/>
      <c r="V258" s="5"/>
      <c r="W258" s="5"/>
      <c r="X258" s="5"/>
      <c r="Y258" s="5"/>
      <c r="Z258" s="5"/>
      <c r="AA258" s="5">
        <v>22200</v>
      </c>
      <c r="AB258" s="5">
        <v>3200</v>
      </c>
      <c r="AC258" s="6">
        <v>42685</v>
      </c>
      <c r="AD258" s="5" t="s">
        <v>42</v>
      </c>
      <c r="AE258" s="5" t="s">
        <v>1617</v>
      </c>
      <c r="AF258" s="5">
        <v>720</v>
      </c>
    </row>
    <row r="259" spans="1:32" x14ac:dyDescent="0.3">
      <c r="A259" s="3">
        <v>253</v>
      </c>
      <c r="B259" s="3" t="str">
        <f>"201600026230"</f>
        <v>201600026230</v>
      </c>
      <c r="C259" s="3" t="str">
        <f>"16796"</f>
        <v>16796</v>
      </c>
      <c r="D259" s="3" t="s">
        <v>1618</v>
      </c>
      <c r="E259" s="3">
        <v>20523706803</v>
      </c>
      <c r="F259" s="3" t="s">
        <v>401</v>
      </c>
      <c r="G259" s="3" t="s">
        <v>1619</v>
      </c>
      <c r="H259" s="3" t="s">
        <v>58</v>
      </c>
      <c r="I259" s="3" t="s">
        <v>58</v>
      </c>
      <c r="J259" s="3" t="s">
        <v>753</v>
      </c>
      <c r="K259" s="3" t="s">
        <v>37</v>
      </c>
      <c r="L259" s="3" t="s">
        <v>1620</v>
      </c>
      <c r="M259" s="3" t="s">
        <v>50</v>
      </c>
      <c r="N259" s="3" t="s">
        <v>102</v>
      </c>
      <c r="O259" s="3" t="s">
        <v>166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>
        <v>25000</v>
      </c>
      <c r="AB259" s="3">
        <v>2000</v>
      </c>
      <c r="AC259" s="4">
        <v>42451</v>
      </c>
      <c r="AD259" s="3" t="s">
        <v>42</v>
      </c>
      <c r="AE259" s="3" t="s">
        <v>405</v>
      </c>
      <c r="AF259" s="3">
        <v>0</v>
      </c>
    </row>
    <row r="260" spans="1:32" x14ac:dyDescent="0.3">
      <c r="A260" s="5">
        <v>254</v>
      </c>
      <c r="B260" s="5" t="str">
        <f>"201800107268"</f>
        <v>201800107268</v>
      </c>
      <c r="C260" s="5" t="str">
        <f>"123549"</f>
        <v>123549</v>
      </c>
      <c r="D260" s="5" t="s">
        <v>1621</v>
      </c>
      <c r="E260" s="5">
        <v>20568841817</v>
      </c>
      <c r="F260" s="5" t="s">
        <v>1622</v>
      </c>
      <c r="G260" s="5" t="s">
        <v>1623</v>
      </c>
      <c r="H260" s="5" t="s">
        <v>108</v>
      </c>
      <c r="I260" s="5" t="s">
        <v>647</v>
      </c>
      <c r="J260" s="5" t="s">
        <v>846</v>
      </c>
      <c r="K260" s="5" t="s">
        <v>37</v>
      </c>
      <c r="L260" s="5" t="s">
        <v>1624</v>
      </c>
      <c r="M260" s="5" t="s">
        <v>1153</v>
      </c>
      <c r="N260" s="5" t="s">
        <v>128</v>
      </c>
      <c r="O260" s="5" t="s">
        <v>368</v>
      </c>
      <c r="P260" s="5" t="s">
        <v>1625</v>
      </c>
      <c r="Q260" s="5" t="s">
        <v>94</v>
      </c>
      <c r="R260" s="5"/>
      <c r="S260" s="5"/>
      <c r="T260" s="5"/>
      <c r="U260" s="5"/>
      <c r="V260" s="5"/>
      <c r="W260" s="5"/>
      <c r="X260" s="5"/>
      <c r="Y260" s="5"/>
      <c r="Z260" s="5"/>
      <c r="AA260" s="5">
        <v>23000</v>
      </c>
      <c r="AB260" s="5">
        <v>5000</v>
      </c>
      <c r="AC260" s="6">
        <v>43283</v>
      </c>
      <c r="AD260" s="5" t="s">
        <v>42</v>
      </c>
      <c r="AE260" s="5" t="s">
        <v>1626</v>
      </c>
      <c r="AF260" s="5">
        <v>0</v>
      </c>
    </row>
    <row r="261" spans="1:32" ht="27.95" x14ac:dyDescent="0.3">
      <c r="A261" s="3">
        <v>255</v>
      </c>
      <c r="B261" s="3" t="str">
        <f>"202000012627"</f>
        <v>202000012627</v>
      </c>
      <c r="C261" s="3" t="str">
        <f>"82526"</f>
        <v>82526</v>
      </c>
      <c r="D261" s="3" t="s">
        <v>1627</v>
      </c>
      <c r="E261" s="3">
        <v>20102486804</v>
      </c>
      <c r="F261" s="3" t="s">
        <v>1628</v>
      </c>
      <c r="G261" s="3" t="s">
        <v>1629</v>
      </c>
      <c r="H261" s="3" t="s">
        <v>187</v>
      </c>
      <c r="I261" s="3" t="s">
        <v>1630</v>
      </c>
      <c r="J261" s="3" t="s">
        <v>1630</v>
      </c>
      <c r="K261" s="3" t="s">
        <v>37</v>
      </c>
      <c r="L261" s="3" t="s">
        <v>1631</v>
      </c>
      <c r="M261" s="3" t="s">
        <v>94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>
        <v>7000</v>
      </c>
      <c r="AB261" s="3">
        <v>5000</v>
      </c>
      <c r="AC261" s="4">
        <v>43857</v>
      </c>
      <c r="AD261" s="3" t="s">
        <v>42</v>
      </c>
      <c r="AE261" s="3" t="s">
        <v>1632</v>
      </c>
      <c r="AF261" s="3">
        <v>0</v>
      </c>
    </row>
    <row r="262" spans="1:32" x14ac:dyDescent="0.3">
      <c r="A262" s="5">
        <v>256</v>
      </c>
      <c r="B262" s="5" t="str">
        <f>"201800048243"</f>
        <v>201800048243</v>
      </c>
      <c r="C262" s="5" t="str">
        <f>"14514"</f>
        <v>14514</v>
      </c>
      <c r="D262" s="5" t="s">
        <v>1633</v>
      </c>
      <c r="E262" s="5">
        <v>20494403596</v>
      </c>
      <c r="F262" s="5" t="s">
        <v>1634</v>
      </c>
      <c r="G262" s="5" t="s">
        <v>1635</v>
      </c>
      <c r="H262" s="5" t="s">
        <v>47</v>
      </c>
      <c r="I262" s="5" t="s">
        <v>47</v>
      </c>
      <c r="J262" s="5" t="s">
        <v>1636</v>
      </c>
      <c r="K262" s="5" t="s">
        <v>37</v>
      </c>
      <c r="L262" s="5" t="s">
        <v>1637</v>
      </c>
      <c r="M262" s="5" t="s">
        <v>572</v>
      </c>
      <c r="N262" s="5" t="s">
        <v>571</v>
      </c>
      <c r="O262" s="5" t="s">
        <v>1163</v>
      </c>
      <c r="P262" s="5" t="s">
        <v>78</v>
      </c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>
        <v>5600</v>
      </c>
      <c r="AB262" s="5">
        <v>3200</v>
      </c>
      <c r="AC262" s="6">
        <v>43185</v>
      </c>
      <c r="AD262" s="5" t="s">
        <v>42</v>
      </c>
      <c r="AE262" s="5" t="s">
        <v>298</v>
      </c>
      <c r="AF262" s="5">
        <v>0</v>
      </c>
    </row>
    <row r="263" spans="1:32" ht="27.95" x14ac:dyDescent="0.3">
      <c r="A263" s="3">
        <v>257</v>
      </c>
      <c r="B263" s="3" t="str">
        <f>"202000072814"</f>
        <v>202000072814</v>
      </c>
      <c r="C263" s="3" t="str">
        <f>"9077"</f>
        <v>9077</v>
      </c>
      <c r="D263" s="3" t="s">
        <v>1638</v>
      </c>
      <c r="E263" s="3">
        <v>20486100487</v>
      </c>
      <c r="F263" s="3" t="s">
        <v>1639</v>
      </c>
      <c r="G263" s="3" t="s">
        <v>1640</v>
      </c>
      <c r="H263" s="3" t="s">
        <v>108</v>
      </c>
      <c r="I263" s="3" t="s">
        <v>647</v>
      </c>
      <c r="J263" s="3" t="s">
        <v>1117</v>
      </c>
      <c r="K263" s="3" t="s">
        <v>37</v>
      </c>
      <c r="L263" s="3" t="s">
        <v>1641</v>
      </c>
      <c r="M263" s="3" t="s">
        <v>1642</v>
      </c>
      <c r="N263" s="3" t="s">
        <v>1642</v>
      </c>
      <c r="O263" s="3" t="s">
        <v>166</v>
      </c>
      <c r="P263" s="3" t="s">
        <v>94</v>
      </c>
      <c r="Q263" s="3" t="s">
        <v>94</v>
      </c>
      <c r="R263" s="3"/>
      <c r="S263" s="3"/>
      <c r="T263" s="3"/>
      <c r="U263" s="3"/>
      <c r="V263" s="3"/>
      <c r="W263" s="3"/>
      <c r="X263" s="3"/>
      <c r="Y263" s="3"/>
      <c r="Z263" s="3"/>
      <c r="AA263" s="3">
        <v>33400</v>
      </c>
      <c r="AB263" s="3">
        <v>10000</v>
      </c>
      <c r="AC263" s="4">
        <v>44013</v>
      </c>
      <c r="AD263" s="3" t="s">
        <v>42</v>
      </c>
      <c r="AE263" s="3" t="s">
        <v>1643</v>
      </c>
      <c r="AF263" s="3">
        <v>0</v>
      </c>
    </row>
    <row r="264" spans="1:32" x14ac:dyDescent="0.3">
      <c r="A264" s="5">
        <v>258</v>
      </c>
      <c r="B264" s="5" t="str">
        <f>"201900048900"</f>
        <v>201900048900</v>
      </c>
      <c r="C264" s="5" t="str">
        <f>"15707"</f>
        <v>15707</v>
      </c>
      <c r="D264" s="5" t="s">
        <v>1644</v>
      </c>
      <c r="E264" s="5">
        <v>20100202396</v>
      </c>
      <c r="F264" s="5" t="s">
        <v>1645</v>
      </c>
      <c r="G264" s="5" t="s">
        <v>1646</v>
      </c>
      <c r="H264" s="5" t="s">
        <v>89</v>
      </c>
      <c r="I264" s="5" t="s">
        <v>89</v>
      </c>
      <c r="J264" s="5" t="s">
        <v>89</v>
      </c>
      <c r="K264" s="5" t="s">
        <v>37</v>
      </c>
      <c r="L264" s="5" t="s">
        <v>263</v>
      </c>
      <c r="M264" s="5" t="s">
        <v>161</v>
      </c>
      <c r="N264" s="5" t="s">
        <v>1647</v>
      </c>
      <c r="O264" s="5" t="s">
        <v>1648</v>
      </c>
      <c r="P264" s="5" t="s">
        <v>1111</v>
      </c>
      <c r="Q264" s="5" t="s">
        <v>1367</v>
      </c>
      <c r="R264" s="5" t="s">
        <v>1649</v>
      </c>
      <c r="S264" s="5" t="s">
        <v>1650</v>
      </c>
      <c r="T264" s="5" t="s">
        <v>1314</v>
      </c>
      <c r="U264" s="5" t="s">
        <v>1154</v>
      </c>
      <c r="V264" s="5" t="s">
        <v>211</v>
      </c>
      <c r="W264" s="5" t="s">
        <v>248</v>
      </c>
      <c r="X264" s="5"/>
      <c r="Y264" s="5"/>
      <c r="Z264" s="5"/>
      <c r="AA264" s="5">
        <v>57800</v>
      </c>
      <c r="AB264" s="5">
        <v>3000</v>
      </c>
      <c r="AC264" s="6">
        <v>43552</v>
      </c>
      <c r="AD264" s="5" t="s">
        <v>42</v>
      </c>
      <c r="AE264" s="5" t="s">
        <v>1651</v>
      </c>
      <c r="AF264" s="5">
        <v>0</v>
      </c>
    </row>
    <row r="265" spans="1:32" ht="27.95" x14ac:dyDescent="0.3">
      <c r="A265" s="3">
        <v>259</v>
      </c>
      <c r="B265" s="3" t="str">
        <f>"201700041575"</f>
        <v>201700041575</v>
      </c>
      <c r="C265" s="3" t="str">
        <f>"125289"</f>
        <v>125289</v>
      </c>
      <c r="D265" s="3" t="s">
        <v>1652</v>
      </c>
      <c r="E265" s="3">
        <v>20601384087</v>
      </c>
      <c r="F265" s="3" t="s">
        <v>1653</v>
      </c>
      <c r="G265" s="3" t="s">
        <v>1654</v>
      </c>
      <c r="H265" s="3" t="s">
        <v>108</v>
      </c>
      <c r="I265" s="3" t="s">
        <v>1655</v>
      </c>
      <c r="J265" s="3" t="s">
        <v>1655</v>
      </c>
      <c r="K265" s="3" t="s">
        <v>37</v>
      </c>
      <c r="L265" s="3" t="s">
        <v>1656</v>
      </c>
      <c r="M265" s="3" t="s">
        <v>1657</v>
      </c>
      <c r="N265" s="3" t="s">
        <v>94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>
        <v>15013</v>
      </c>
      <c r="AB265" s="3">
        <v>5000</v>
      </c>
      <c r="AC265" s="4">
        <v>42816</v>
      </c>
      <c r="AD265" s="3" t="s">
        <v>42</v>
      </c>
      <c r="AE265" s="3" t="s">
        <v>1658</v>
      </c>
      <c r="AF265" s="3">
        <v>0</v>
      </c>
    </row>
    <row r="266" spans="1:32" ht="27.95" x14ac:dyDescent="0.3">
      <c r="A266" s="5">
        <v>260</v>
      </c>
      <c r="B266" s="5" t="str">
        <f>"201800099932"</f>
        <v>201800099932</v>
      </c>
      <c r="C266" s="5" t="str">
        <f>"92951"</f>
        <v>92951</v>
      </c>
      <c r="D266" s="5" t="s">
        <v>1659</v>
      </c>
      <c r="E266" s="5">
        <v>10205623855</v>
      </c>
      <c r="F266" s="5" t="s">
        <v>1660</v>
      </c>
      <c r="G266" s="5" t="s">
        <v>1661</v>
      </c>
      <c r="H266" s="5" t="s">
        <v>108</v>
      </c>
      <c r="I266" s="5" t="s">
        <v>475</v>
      </c>
      <c r="J266" s="5" t="s">
        <v>475</v>
      </c>
      <c r="K266" s="5" t="s">
        <v>37</v>
      </c>
      <c r="L266" s="5" t="s">
        <v>1662</v>
      </c>
      <c r="M266" s="5" t="s">
        <v>1663</v>
      </c>
      <c r="N266" s="5" t="s">
        <v>1664</v>
      </c>
      <c r="O266" s="5" t="s">
        <v>94</v>
      </c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>
        <v>7941</v>
      </c>
      <c r="AB266" s="5">
        <v>5000</v>
      </c>
      <c r="AC266" s="6">
        <v>43265</v>
      </c>
      <c r="AD266" s="5" t="s">
        <v>42</v>
      </c>
      <c r="AE266" s="5" t="s">
        <v>1660</v>
      </c>
      <c r="AF266" s="5">
        <v>0</v>
      </c>
    </row>
    <row r="267" spans="1:32" ht="27.95" x14ac:dyDescent="0.3">
      <c r="A267" s="3">
        <v>261</v>
      </c>
      <c r="B267" s="3" t="str">
        <f>"201800164453"</f>
        <v>201800164453</v>
      </c>
      <c r="C267" s="3" t="str">
        <f>"6836"</f>
        <v>6836</v>
      </c>
      <c r="D267" s="3" t="s">
        <v>1665</v>
      </c>
      <c r="E267" s="3">
        <v>20512853529</v>
      </c>
      <c r="F267" s="3" t="s">
        <v>1666</v>
      </c>
      <c r="G267" s="3" t="s">
        <v>1667</v>
      </c>
      <c r="H267" s="3" t="s">
        <v>58</v>
      </c>
      <c r="I267" s="3" t="s">
        <v>58</v>
      </c>
      <c r="J267" s="3" t="s">
        <v>71</v>
      </c>
      <c r="K267" s="3" t="s">
        <v>37</v>
      </c>
      <c r="L267" s="3" t="s">
        <v>61</v>
      </c>
      <c r="M267" s="3" t="s">
        <v>72</v>
      </c>
      <c r="N267" s="3" t="s">
        <v>1255</v>
      </c>
      <c r="O267" s="3" t="s">
        <v>172</v>
      </c>
      <c r="P267" s="3" t="s">
        <v>381</v>
      </c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>
        <v>28000</v>
      </c>
      <c r="AB267" s="3">
        <v>2000</v>
      </c>
      <c r="AC267" s="4">
        <v>43391</v>
      </c>
      <c r="AD267" s="3" t="s">
        <v>42</v>
      </c>
      <c r="AE267" s="3" t="s">
        <v>1668</v>
      </c>
      <c r="AF267" s="3">
        <v>720</v>
      </c>
    </row>
    <row r="268" spans="1:32" ht="27.95" x14ac:dyDescent="0.3">
      <c r="A268" s="5">
        <v>262</v>
      </c>
      <c r="B268" s="5" t="str">
        <f>"202000010437"</f>
        <v>202000010437</v>
      </c>
      <c r="C268" s="5" t="str">
        <f>"148844"</f>
        <v>148844</v>
      </c>
      <c r="D268" s="5" t="s">
        <v>1669</v>
      </c>
      <c r="E268" s="5">
        <v>20507458999</v>
      </c>
      <c r="F268" s="5" t="s">
        <v>1670</v>
      </c>
      <c r="G268" s="5" t="s">
        <v>1671</v>
      </c>
      <c r="H268" s="5" t="s">
        <v>187</v>
      </c>
      <c r="I268" s="5" t="s">
        <v>187</v>
      </c>
      <c r="J268" s="5" t="s">
        <v>188</v>
      </c>
      <c r="K268" s="5" t="s">
        <v>37</v>
      </c>
      <c r="L268" s="5" t="s">
        <v>72</v>
      </c>
      <c r="M268" s="5" t="s">
        <v>950</v>
      </c>
      <c r="N268" s="5" t="s">
        <v>1255</v>
      </c>
      <c r="O268" s="5" t="s">
        <v>990</v>
      </c>
      <c r="P268" s="5" t="s">
        <v>1289</v>
      </c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>
        <v>32000</v>
      </c>
      <c r="AB268" s="5">
        <v>5500</v>
      </c>
      <c r="AC268" s="6">
        <v>43853</v>
      </c>
      <c r="AD268" s="5" t="s">
        <v>42</v>
      </c>
      <c r="AE268" s="5" t="s">
        <v>1672</v>
      </c>
      <c r="AF268" s="5">
        <v>0</v>
      </c>
    </row>
    <row r="269" spans="1:32" ht="27.95" x14ac:dyDescent="0.3">
      <c r="A269" s="3">
        <v>263</v>
      </c>
      <c r="B269" s="3" t="str">
        <f>"201900025929"</f>
        <v>201900025929</v>
      </c>
      <c r="C269" s="3" t="str">
        <f>"89145"</f>
        <v>89145</v>
      </c>
      <c r="D269" s="3" t="s">
        <v>1673</v>
      </c>
      <c r="E269" s="3">
        <v>20127765279</v>
      </c>
      <c r="F269" s="3" t="s">
        <v>1115</v>
      </c>
      <c r="G269" s="3" t="s">
        <v>1674</v>
      </c>
      <c r="H269" s="3" t="s">
        <v>89</v>
      </c>
      <c r="I269" s="3" t="s">
        <v>89</v>
      </c>
      <c r="J269" s="3" t="s">
        <v>309</v>
      </c>
      <c r="K269" s="3" t="s">
        <v>37</v>
      </c>
      <c r="L269" s="3" t="s">
        <v>102</v>
      </c>
      <c r="M269" s="3" t="s">
        <v>102</v>
      </c>
      <c r="N269" s="3" t="s">
        <v>102</v>
      </c>
      <c r="O269" s="3" t="s">
        <v>51</v>
      </c>
      <c r="P269" s="3" t="s">
        <v>1675</v>
      </c>
      <c r="Q269" s="3" t="s">
        <v>248</v>
      </c>
      <c r="R269" s="3"/>
      <c r="S269" s="3"/>
      <c r="T269" s="3"/>
      <c r="U269" s="3"/>
      <c r="V269" s="3"/>
      <c r="W269" s="3"/>
      <c r="X269" s="3"/>
      <c r="Y269" s="3"/>
      <c r="Z269" s="3"/>
      <c r="AA269" s="3">
        <v>25000</v>
      </c>
      <c r="AB269" s="3">
        <v>3000</v>
      </c>
      <c r="AC269" s="4">
        <v>43517</v>
      </c>
      <c r="AD269" s="3" t="s">
        <v>42</v>
      </c>
      <c r="AE269" s="3" t="s">
        <v>279</v>
      </c>
      <c r="AF269" s="3">
        <v>0</v>
      </c>
    </row>
    <row r="270" spans="1:32" ht="27.95" x14ac:dyDescent="0.3">
      <c r="A270" s="5">
        <v>264</v>
      </c>
      <c r="B270" s="5" t="str">
        <f>"202000039720"</f>
        <v>202000039720</v>
      </c>
      <c r="C270" s="5" t="str">
        <f>"86718"</f>
        <v>86718</v>
      </c>
      <c r="D270" s="5" t="s">
        <v>1676</v>
      </c>
      <c r="E270" s="5">
        <v>20321698302</v>
      </c>
      <c r="F270" s="5" t="s">
        <v>1677</v>
      </c>
      <c r="G270" s="5" t="s">
        <v>1678</v>
      </c>
      <c r="H270" s="5" t="s">
        <v>935</v>
      </c>
      <c r="I270" s="5" t="s">
        <v>936</v>
      </c>
      <c r="J270" s="5" t="s">
        <v>935</v>
      </c>
      <c r="K270" s="5" t="s">
        <v>37</v>
      </c>
      <c r="L270" s="5" t="s">
        <v>1679</v>
      </c>
      <c r="M270" s="5" t="s">
        <v>1680</v>
      </c>
      <c r="N270" s="5" t="s">
        <v>1681</v>
      </c>
      <c r="O270" s="5" t="s">
        <v>248</v>
      </c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13260</v>
      </c>
      <c r="AB270" s="5">
        <v>3000</v>
      </c>
      <c r="AC270" s="6">
        <v>43899</v>
      </c>
      <c r="AD270" s="5" t="s">
        <v>42</v>
      </c>
      <c r="AE270" s="5" t="s">
        <v>1682</v>
      </c>
      <c r="AF270" s="5">
        <v>0</v>
      </c>
    </row>
    <row r="271" spans="1:32" ht="27.95" x14ac:dyDescent="0.3">
      <c r="A271" s="3">
        <v>265</v>
      </c>
      <c r="B271" s="3" t="str">
        <f>"201800165304"</f>
        <v>201800165304</v>
      </c>
      <c r="C271" s="3" t="str">
        <f>"39579"</f>
        <v>39579</v>
      </c>
      <c r="D271" s="3" t="s">
        <v>1683</v>
      </c>
      <c r="E271" s="3">
        <v>20494408041</v>
      </c>
      <c r="F271" s="3" t="s">
        <v>1684</v>
      </c>
      <c r="G271" s="3" t="s">
        <v>1685</v>
      </c>
      <c r="H271" s="3" t="s">
        <v>47</v>
      </c>
      <c r="I271" s="3" t="s">
        <v>1395</v>
      </c>
      <c r="J271" s="3" t="s">
        <v>1395</v>
      </c>
      <c r="K271" s="3" t="s">
        <v>37</v>
      </c>
      <c r="L271" s="3" t="s">
        <v>72</v>
      </c>
      <c r="M271" s="3" t="s">
        <v>72</v>
      </c>
      <c r="N271" s="3" t="s">
        <v>1686</v>
      </c>
      <c r="O271" s="3" t="s">
        <v>562</v>
      </c>
      <c r="P271" s="3" t="s">
        <v>1687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>
        <v>32000</v>
      </c>
      <c r="AB271" s="3">
        <v>5400</v>
      </c>
      <c r="AC271" s="4">
        <v>43377</v>
      </c>
      <c r="AD271" s="3" t="s">
        <v>42</v>
      </c>
      <c r="AE271" s="3" t="s">
        <v>1688</v>
      </c>
      <c r="AF271" s="3">
        <v>0</v>
      </c>
    </row>
    <row r="272" spans="1:32" ht="27.95" x14ac:dyDescent="0.3">
      <c r="A272" s="5">
        <v>266</v>
      </c>
      <c r="B272" s="5" t="str">
        <f>"201900074242"</f>
        <v>201900074242</v>
      </c>
      <c r="C272" s="5" t="str">
        <f>"115401"</f>
        <v>115401</v>
      </c>
      <c r="D272" s="5" t="s">
        <v>1689</v>
      </c>
      <c r="E272" s="5">
        <v>20600671546</v>
      </c>
      <c r="F272" s="5" t="s">
        <v>1690</v>
      </c>
      <c r="G272" s="5" t="s">
        <v>1691</v>
      </c>
      <c r="H272" s="5" t="s">
        <v>47</v>
      </c>
      <c r="I272" s="5" t="s">
        <v>159</v>
      </c>
      <c r="J272" s="5" t="s">
        <v>160</v>
      </c>
      <c r="K272" s="5" t="s">
        <v>37</v>
      </c>
      <c r="L272" s="5" t="s">
        <v>63</v>
      </c>
      <c r="M272" s="5" t="s">
        <v>1692</v>
      </c>
      <c r="N272" s="5" t="s">
        <v>78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>
        <v>13000</v>
      </c>
      <c r="AB272" s="5">
        <v>3200</v>
      </c>
      <c r="AC272" s="6">
        <v>43593</v>
      </c>
      <c r="AD272" s="5" t="s">
        <v>42</v>
      </c>
      <c r="AE272" s="5" t="s">
        <v>1693</v>
      </c>
      <c r="AF272" s="5">
        <v>120</v>
      </c>
    </row>
    <row r="273" spans="1:32" ht="41.95" x14ac:dyDescent="0.3">
      <c r="A273" s="3">
        <v>267</v>
      </c>
      <c r="B273" s="3" t="str">
        <f>"201800173583"</f>
        <v>201800173583</v>
      </c>
      <c r="C273" s="3" t="str">
        <f>"133397"</f>
        <v>133397</v>
      </c>
      <c r="D273" s="3" t="s">
        <v>1694</v>
      </c>
      <c r="E273" s="3">
        <v>20600532082</v>
      </c>
      <c r="F273" s="3" t="s">
        <v>1695</v>
      </c>
      <c r="G273" s="3" t="s">
        <v>1696</v>
      </c>
      <c r="H273" s="3" t="s">
        <v>108</v>
      </c>
      <c r="I273" s="3" t="s">
        <v>647</v>
      </c>
      <c r="J273" s="3" t="s">
        <v>846</v>
      </c>
      <c r="K273" s="3" t="s">
        <v>37</v>
      </c>
      <c r="L273" s="3" t="s">
        <v>166</v>
      </c>
      <c r="M273" s="3" t="s">
        <v>1697</v>
      </c>
      <c r="N273" s="3" t="s">
        <v>41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>
        <v>20000</v>
      </c>
      <c r="AB273" s="3">
        <v>10000</v>
      </c>
      <c r="AC273" s="4">
        <v>43395</v>
      </c>
      <c r="AD273" s="3" t="s">
        <v>42</v>
      </c>
      <c r="AE273" s="3" t="s">
        <v>1698</v>
      </c>
      <c r="AF273" s="3">
        <v>0</v>
      </c>
    </row>
    <row r="274" spans="1:32" ht="27.95" x14ac:dyDescent="0.3">
      <c r="A274" s="5">
        <v>268</v>
      </c>
      <c r="B274" s="5" t="str">
        <f>"201500019352"</f>
        <v>201500019352</v>
      </c>
      <c r="C274" s="5" t="str">
        <f>"15729"</f>
        <v>15729</v>
      </c>
      <c r="D274" s="5" t="s">
        <v>1699</v>
      </c>
      <c r="E274" s="5">
        <v>20203530073</v>
      </c>
      <c r="F274" s="5" t="s">
        <v>1700</v>
      </c>
      <c r="G274" s="5" t="s">
        <v>1701</v>
      </c>
      <c r="H274" s="5" t="s">
        <v>58</v>
      </c>
      <c r="I274" s="5" t="s">
        <v>58</v>
      </c>
      <c r="J274" s="5" t="s">
        <v>99</v>
      </c>
      <c r="K274" s="5" t="s">
        <v>37</v>
      </c>
      <c r="L274" s="5" t="s">
        <v>162</v>
      </c>
      <c r="M274" s="5" t="s">
        <v>161</v>
      </c>
      <c r="N274" s="5" t="s">
        <v>263</v>
      </c>
      <c r="O274" s="5" t="s">
        <v>63</v>
      </c>
      <c r="P274" s="5" t="s">
        <v>63</v>
      </c>
      <c r="Q274" s="5" t="s">
        <v>775</v>
      </c>
      <c r="R274" s="5" t="s">
        <v>78</v>
      </c>
      <c r="S274" s="5"/>
      <c r="T274" s="5"/>
      <c r="U274" s="5"/>
      <c r="V274" s="5"/>
      <c r="W274" s="5"/>
      <c r="X274" s="5"/>
      <c r="Y274" s="5"/>
      <c r="Z274" s="5"/>
      <c r="AA274" s="5">
        <v>36000</v>
      </c>
      <c r="AB274" s="5">
        <v>3200</v>
      </c>
      <c r="AC274" s="6">
        <v>42055</v>
      </c>
      <c r="AD274" s="5" t="s">
        <v>42</v>
      </c>
      <c r="AE274" s="5" t="s">
        <v>1702</v>
      </c>
      <c r="AF274" s="5">
        <v>0</v>
      </c>
    </row>
    <row r="275" spans="1:32" ht="27.95" x14ac:dyDescent="0.3">
      <c r="A275" s="3">
        <v>269</v>
      </c>
      <c r="B275" s="3" t="str">
        <f>"201700124139"</f>
        <v>201700124139</v>
      </c>
      <c r="C275" s="3" t="str">
        <f>"9093"</f>
        <v>9093</v>
      </c>
      <c r="D275" s="3" t="s">
        <v>1703</v>
      </c>
      <c r="E275" s="3">
        <v>10084593686</v>
      </c>
      <c r="F275" s="3" t="s">
        <v>1704</v>
      </c>
      <c r="G275" s="3" t="s">
        <v>1705</v>
      </c>
      <c r="H275" s="3" t="s">
        <v>125</v>
      </c>
      <c r="I275" s="3" t="s">
        <v>509</v>
      </c>
      <c r="J275" s="3" t="s">
        <v>1706</v>
      </c>
      <c r="K275" s="3" t="s">
        <v>37</v>
      </c>
      <c r="L275" s="3" t="s">
        <v>166</v>
      </c>
      <c r="M275" s="3" t="s">
        <v>1707</v>
      </c>
      <c r="N275" s="3" t="s">
        <v>480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>
        <v>20000</v>
      </c>
      <c r="AB275" s="3">
        <v>7800</v>
      </c>
      <c r="AC275" s="4">
        <v>42963</v>
      </c>
      <c r="AD275" s="3" t="s">
        <v>42</v>
      </c>
      <c r="AE275" s="3" t="s">
        <v>1704</v>
      </c>
      <c r="AF275" s="3">
        <v>480</v>
      </c>
    </row>
    <row r="276" spans="1:32" ht="27.95" x14ac:dyDescent="0.3">
      <c r="A276" s="5">
        <v>270</v>
      </c>
      <c r="B276" s="5" t="str">
        <f>"201700223602"</f>
        <v>201700223602</v>
      </c>
      <c r="C276" s="5" t="str">
        <f>"62995"</f>
        <v>62995</v>
      </c>
      <c r="D276" s="5" t="s">
        <v>1708</v>
      </c>
      <c r="E276" s="5">
        <v>20602654002</v>
      </c>
      <c r="F276" s="5" t="s">
        <v>1709</v>
      </c>
      <c r="G276" s="5" t="s">
        <v>1710</v>
      </c>
      <c r="H276" s="5" t="s">
        <v>638</v>
      </c>
      <c r="I276" s="5" t="s">
        <v>639</v>
      </c>
      <c r="J276" s="5" t="s">
        <v>640</v>
      </c>
      <c r="K276" s="5" t="s">
        <v>37</v>
      </c>
      <c r="L276" s="5" t="s">
        <v>1711</v>
      </c>
      <c r="M276" s="5" t="s">
        <v>1712</v>
      </c>
      <c r="N276" s="5" t="s">
        <v>78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>
        <v>15808</v>
      </c>
      <c r="AB276" s="5">
        <v>3200</v>
      </c>
      <c r="AC276" s="6">
        <v>43115</v>
      </c>
      <c r="AD276" s="5" t="s">
        <v>42</v>
      </c>
      <c r="AE276" s="5" t="s">
        <v>1713</v>
      </c>
      <c r="AF276" s="5">
        <v>0</v>
      </c>
    </row>
    <row r="277" spans="1:32" ht="27.95" x14ac:dyDescent="0.3">
      <c r="A277" s="3">
        <v>271</v>
      </c>
      <c r="B277" s="3" t="str">
        <f>"201900204154"</f>
        <v>201900204154</v>
      </c>
      <c r="C277" s="3" t="str">
        <f>"18687"</f>
        <v>18687</v>
      </c>
      <c r="D277" s="3" t="s">
        <v>1714</v>
      </c>
      <c r="E277" s="3">
        <v>20127765279</v>
      </c>
      <c r="F277" s="3" t="s">
        <v>1115</v>
      </c>
      <c r="G277" s="3" t="s">
        <v>1715</v>
      </c>
      <c r="H277" s="3" t="s">
        <v>58</v>
      </c>
      <c r="I277" s="3" t="s">
        <v>58</v>
      </c>
      <c r="J277" s="3" t="s">
        <v>485</v>
      </c>
      <c r="K277" s="3" t="s">
        <v>37</v>
      </c>
      <c r="L277" s="3" t="s">
        <v>102</v>
      </c>
      <c r="M277" s="3" t="s">
        <v>743</v>
      </c>
      <c r="N277" s="3" t="s">
        <v>51</v>
      </c>
      <c r="O277" s="3" t="s">
        <v>50</v>
      </c>
      <c r="P277" s="3" t="s">
        <v>103</v>
      </c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>
        <v>20000</v>
      </c>
      <c r="AB277" s="3">
        <v>2500</v>
      </c>
      <c r="AC277" s="4">
        <v>43811</v>
      </c>
      <c r="AD277" s="3" t="s">
        <v>42</v>
      </c>
      <c r="AE277" s="3" t="s">
        <v>279</v>
      </c>
      <c r="AF277" s="3">
        <v>240</v>
      </c>
    </row>
    <row r="278" spans="1:32" ht="27.95" x14ac:dyDescent="0.3">
      <c r="A278" s="5">
        <v>272</v>
      </c>
      <c r="B278" s="5" t="str">
        <f>"201700199917"</f>
        <v>201700199917</v>
      </c>
      <c r="C278" s="5" t="str">
        <f>"111552"</f>
        <v>111552</v>
      </c>
      <c r="D278" s="5" t="s">
        <v>1716</v>
      </c>
      <c r="E278" s="5">
        <v>20555103698</v>
      </c>
      <c r="F278" s="5" t="s">
        <v>1717</v>
      </c>
      <c r="G278" s="5" t="s">
        <v>1718</v>
      </c>
      <c r="H278" s="5" t="s">
        <v>58</v>
      </c>
      <c r="I278" s="5" t="s">
        <v>58</v>
      </c>
      <c r="J278" s="5" t="s">
        <v>663</v>
      </c>
      <c r="K278" s="5" t="s">
        <v>37</v>
      </c>
      <c r="L278" s="5" t="s">
        <v>72</v>
      </c>
      <c r="M278" s="5" t="s">
        <v>470</v>
      </c>
      <c r="N278" s="5" t="s">
        <v>1719</v>
      </c>
      <c r="O278" s="5" t="s">
        <v>78</v>
      </c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>
        <v>24000</v>
      </c>
      <c r="AB278" s="5">
        <v>3200</v>
      </c>
      <c r="AC278" s="6">
        <v>43066</v>
      </c>
      <c r="AD278" s="5" t="s">
        <v>42</v>
      </c>
      <c r="AE278" s="5" t="s">
        <v>1720</v>
      </c>
      <c r="AF278" s="5">
        <v>480</v>
      </c>
    </row>
    <row r="279" spans="1:32" ht="27.95" x14ac:dyDescent="0.3">
      <c r="A279" s="3">
        <v>273</v>
      </c>
      <c r="B279" s="3" t="str">
        <f>"201800012228"</f>
        <v>201800012228</v>
      </c>
      <c r="C279" s="3" t="str">
        <f>"90316"</f>
        <v>90316</v>
      </c>
      <c r="D279" s="3" t="s">
        <v>1721</v>
      </c>
      <c r="E279" s="3">
        <v>20602784381</v>
      </c>
      <c r="F279" s="3" t="s">
        <v>1722</v>
      </c>
      <c r="G279" s="3" t="s">
        <v>1723</v>
      </c>
      <c r="H279" s="3" t="s">
        <v>58</v>
      </c>
      <c r="I279" s="3" t="s">
        <v>58</v>
      </c>
      <c r="J279" s="3" t="s">
        <v>545</v>
      </c>
      <c r="K279" s="3" t="s">
        <v>37</v>
      </c>
      <c r="L279" s="3" t="s">
        <v>102</v>
      </c>
      <c r="M279" s="3" t="s">
        <v>1724</v>
      </c>
      <c r="N279" s="3" t="s">
        <v>78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>
        <v>11500</v>
      </c>
      <c r="AB279" s="3">
        <v>3200</v>
      </c>
      <c r="AC279" s="4">
        <v>43128</v>
      </c>
      <c r="AD279" s="3" t="s">
        <v>42</v>
      </c>
      <c r="AE279" s="3" t="s">
        <v>1725</v>
      </c>
      <c r="AF279" s="3">
        <v>0</v>
      </c>
    </row>
    <row r="280" spans="1:32" ht="27.95" x14ac:dyDescent="0.3">
      <c r="A280" s="5">
        <v>274</v>
      </c>
      <c r="B280" s="5" t="str">
        <f>"201800119452"</f>
        <v>201800119452</v>
      </c>
      <c r="C280" s="5" t="str">
        <f>"126916"</f>
        <v>126916</v>
      </c>
      <c r="D280" s="5" t="s">
        <v>1726</v>
      </c>
      <c r="E280" s="5">
        <v>20482172904</v>
      </c>
      <c r="F280" s="5" t="s">
        <v>1727</v>
      </c>
      <c r="G280" s="5" t="s">
        <v>1728</v>
      </c>
      <c r="H280" s="5" t="s">
        <v>219</v>
      </c>
      <c r="I280" s="5" t="s">
        <v>220</v>
      </c>
      <c r="J280" s="5" t="s">
        <v>1729</v>
      </c>
      <c r="K280" s="5" t="s">
        <v>37</v>
      </c>
      <c r="L280" s="5" t="s">
        <v>862</v>
      </c>
      <c r="M280" s="5" t="s">
        <v>862</v>
      </c>
      <c r="N280" s="5" t="s">
        <v>1730</v>
      </c>
      <c r="O280" s="5" t="s">
        <v>1731</v>
      </c>
      <c r="P280" s="5" t="s">
        <v>1732</v>
      </c>
      <c r="Q280" s="5" t="s">
        <v>1733</v>
      </c>
      <c r="R280" s="5" t="s">
        <v>1734</v>
      </c>
      <c r="S280" s="5" t="s">
        <v>78</v>
      </c>
      <c r="T280" s="5"/>
      <c r="U280" s="5"/>
      <c r="V280" s="5"/>
      <c r="W280" s="5"/>
      <c r="X280" s="5"/>
      <c r="Y280" s="5"/>
      <c r="Z280" s="5"/>
      <c r="AA280" s="5">
        <v>26067</v>
      </c>
      <c r="AB280" s="5">
        <v>3200</v>
      </c>
      <c r="AC280" s="6">
        <v>43309</v>
      </c>
      <c r="AD280" s="5" t="s">
        <v>42</v>
      </c>
      <c r="AE280" s="5" t="s">
        <v>1735</v>
      </c>
      <c r="AF280" s="5">
        <v>720</v>
      </c>
    </row>
    <row r="281" spans="1:32" ht="41.95" x14ac:dyDescent="0.3">
      <c r="A281" s="3">
        <v>275</v>
      </c>
      <c r="B281" s="3" t="str">
        <f>"202000056319"</f>
        <v>202000056319</v>
      </c>
      <c r="C281" s="3" t="str">
        <f>"97924"</f>
        <v>97924</v>
      </c>
      <c r="D281" s="3" t="s">
        <v>1736</v>
      </c>
      <c r="E281" s="3">
        <v>20526536062</v>
      </c>
      <c r="F281" s="3" t="s">
        <v>1737</v>
      </c>
      <c r="G281" s="3" t="s">
        <v>1738</v>
      </c>
      <c r="H281" s="3" t="s">
        <v>187</v>
      </c>
      <c r="I281" s="3" t="s">
        <v>187</v>
      </c>
      <c r="J281" s="3" t="s">
        <v>187</v>
      </c>
      <c r="K281" s="3" t="s">
        <v>37</v>
      </c>
      <c r="L281" s="3" t="s">
        <v>1739</v>
      </c>
      <c r="M281" s="3" t="s">
        <v>1740</v>
      </c>
      <c r="N281" s="3" t="s">
        <v>78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>
        <v>15800</v>
      </c>
      <c r="AB281" s="3">
        <v>3200</v>
      </c>
      <c r="AC281" s="4">
        <v>43965</v>
      </c>
      <c r="AD281" s="3" t="s">
        <v>42</v>
      </c>
      <c r="AE281" s="3" t="s">
        <v>1741</v>
      </c>
      <c r="AF281" s="3">
        <v>0</v>
      </c>
    </row>
    <row r="282" spans="1:32" x14ac:dyDescent="0.3">
      <c r="A282" s="5">
        <v>276</v>
      </c>
      <c r="B282" s="5" t="str">
        <f>"201600117449"</f>
        <v>201600117449</v>
      </c>
      <c r="C282" s="5" t="str">
        <f>"37760"</f>
        <v>37760</v>
      </c>
      <c r="D282" s="5" t="s">
        <v>1742</v>
      </c>
      <c r="E282" s="5">
        <v>20480516851</v>
      </c>
      <c r="F282" s="5" t="s">
        <v>1743</v>
      </c>
      <c r="G282" s="5" t="s">
        <v>1744</v>
      </c>
      <c r="H282" s="5" t="s">
        <v>36</v>
      </c>
      <c r="I282" s="5" t="s">
        <v>409</v>
      </c>
      <c r="J282" s="5" t="s">
        <v>410</v>
      </c>
      <c r="K282" s="5" t="s">
        <v>37</v>
      </c>
      <c r="L282" s="5" t="s">
        <v>49</v>
      </c>
      <c r="M282" s="5" t="s">
        <v>51</v>
      </c>
      <c r="N282" s="5" t="s">
        <v>50</v>
      </c>
      <c r="O282" s="5" t="s">
        <v>411</v>
      </c>
      <c r="P282" s="5" t="s">
        <v>477</v>
      </c>
      <c r="Q282" s="5" t="s">
        <v>411</v>
      </c>
      <c r="R282" s="5" t="s">
        <v>1745</v>
      </c>
      <c r="S282" s="5"/>
      <c r="T282" s="5"/>
      <c r="U282" s="5"/>
      <c r="V282" s="5"/>
      <c r="W282" s="5"/>
      <c r="X282" s="5"/>
      <c r="Y282" s="5"/>
      <c r="Z282" s="5"/>
      <c r="AA282" s="5">
        <v>25000</v>
      </c>
      <c r="AB282" s="5">
        <v>5000</v>
      </c>
      <c r="AC282" s="6">
        <v>42605</v>
      </c>
      <c r="AD282" s="5" t="s">
        <v>42</v>
      </c>
      <c r="AE282" s="5" t="s">
        <v>1746</v>
      </c>
      <c r="AF282" s="5">
        <v>120</v>
      </c>
    </row>
    <row r="283" spans="1:32" ht="27.95" x14ac:dyDescent="0.3">
      <c r="A283" s="3">
        <v>277</v>
      </c>
      <c r="B283" s="3" t="str">
        <f>"202000110138"</f>
        <v>202000110138</v>
      </c>
      <c r="C283" s="3" t="str">
        <f>"126551"</f>
        <v>126551</v>
      </c>
      <c r="D283" s="3" t="s">
        <v>1747</v>
      </c>
      <c r="E283" s="3">
        <v>20541487710</v>
      </c>
      <c r="F283" s="3" t="s">
        <v>1748</v>
      </c>
      <c r="G283" s="3" t="s">
        <v>1749</v>
      </c>
      <c r="H283" s="3" t="s">
        <v>108</v>
      </c>
      <c r="I283" s="3" t="s">
        <v>598</v>
      </c>
      <c r="J283" s="3" t="s">
        <v>1750</v>
      </c>
      <c r="K283" s="3" t="s">
        <v>37</v>
      </c>
      <c r="L283" s="3" t="s">
        <v>102</v>
      </c>
      <c r="M283" s="3" t="s">
        <v>102</v>
      </c>
      <c r="N283" s="3" t="s">
        <v>51</v>
      </c>
      <c r="O283" s="3" t="s">
        <v>1751</v>
      </c>
      <c r="P283" s="3" t="s">
        <v>41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>
        <v>20000</v>
      </c>
      <c r="AB283" s="3">
        <v>10000</v>
      </c>
      <c r="AC283" s="4">
        <v>44069</v>
      </c>
      <c r="AD283" s="4">
        <v>44434</v>
      </c>
      <c r="AE283" s="3" t="s">
        <v>1752</v>
      </c>
      <c r="AF283" s="3">
        <v>0</v>
      </c>
    </row>
    <row r="284" spans="1:32" ht="27.95" x14ac:dyDescent="0.3">
      <c r="A284" s="5">
        <v>278</v>
      </c>
      <c r="B284" s="5" t="str">
        <f>"201900212642"</f>
        <v>201900212642</v>
      </c>
      <c r="C284" s="5" t="str">
        <f>"8583"</f>
        <v>8583</v>
      </c>
      <c r="D284" s="5" t="s">
        <v>1753</v>
      </c>
      <c r="E284" s="5">
        <v>20291490388</v>
      </c>
      <c r="F284" s="5" t="s">
        <v>1754</v>
      </c>
      <c r="G284" s="5" t="s">
        <v>1755</v>
      </c>
      <c r="H284" s="5" t="s">
        <v>58</v>
      </c>
      <c r="I284" s="5" t="s">
        <v>58</v>
      </c>
      <c r="J284" s="5" t="s">
        <v>1756</v>
      </c>
      <c r="K284" s="5" t="s">
        <v>37</v>
      </c>
      <c r="L284" s="5" t="s">
        <v>1757</v>
      </c>
      <c r="M284" s="5" t="s">
        <v>1758</v>
      </c>
      <c r="N284" s="5" t="s">
        <v>166</v>
      </c>
      <c r="O284" s="5" t="s">
        <v>166</v>
      </c>
      <c r="P284" s="5" t="s">
        <v>164</v>
      </c>
      <c r="Q284" s="5" t="s">
        <v>166</v>
      </c>
      <c r="R284" s="5" t="s">
        <v>103</v>
      </c>
      <c r="S284" s="5"/>
      <c r="T284" s="5"/>
      <c r="U284" s="5"/>
      <c r="V284" s="5"/>
      <c r="W284" s="5"/>
      <c r="X284" s="5"/>
      <c r="Y284" s="5"/>
      <c r="Z284" s="5"/>
      <c r="AA284" s="5">
        <v>52000</v>
      </c>
      <c r="AB284" s="5">
        <v>2500</v>
      </c>
      <c r="AC284" s="6">
        <v>43837</v>
      </c>
      <c r="AD284" s="5" t="s">
        <v>42</v>
      </c>
      <c r="AE284" s="5" t="s">
        <v>1759</v>
      </c>
      <c r="AF284" s="5">
        <v>0</v>
      </c>
    </row>
    <row r="285" spans="1:32" ht="27.95" x14ac:dyDescent="0.3">
      <c r="A285" s="3">
        <v>279</v>
      </c>
      <c r="B285" s="3" t="str">
        <f>"201800103828"</f>
        <v>201800103828</v>
      </c>
      <c r="C285" s="3" t="str">
        <f>"108888"</f>
        <v>108888</v>
      </c>
      <c r="D285" s="3" t="s">
        <v>1760</v>
      </c>
      <c r="E285" s="3">
        <v>20568636997</v>
      </c>
      <c r="F285" s="3" t="s">
        <v>1761</v>
      </c>
      <c r="G285" s="3" t="s">
        <v>1762</v>
      </c>
      <c r="H285" s="3" t="s">
        <v>532</v>
      </c>
      <c r="I285" s="3" t="s">
        <v>714</v>
      </c>
      <c r="J285" s="3" t="s">
        <v>714</v>
      </c>
      <c r="K285" s="3" t="s">
        <v>37</v>
      </c>
      <c r="L285" s="3" t="s">
        <v>166</v>
      </c>
      <c r="M285" s="3" t="s">
        <v>1763</v>
      </c>
      <c r="N285" s="3" t="s">
        <v>94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>
        <v>20000</v>
      </c>
      <c r="AB285" s="3">
        <v>5000</v>
      </c>
      <c r="AC285" s="4">
        <v>43279</v>
      </c>
      <c r="AD285" s="3" t="s">
        <v>42</v>
      </c>
      <c r="AE285" s="3" t="s">
        <v>1764</v>
      </c>
      <c r="AF285" s="3">
        <v>720</v>
      </c>
    </row>
    <row r="286" spans="1:32" ht="27.95" x14ac:dyDescent="0.3">
      <c r="A286" s="5">
        <v>280</v>
      </c>
      <c r="B286" s="5" t="str">
        <f>"202000057940"</f>
        <v>202000057940</v>
      </c>
      <c r="C286" s="5" t="str">
        <f>"121495"</f>
        <v>121495</v>
      </c>
      <c r="D286" s="5" t="s">
        <v>1765</v>
      </c>
      <c r="E286" s="5">
        <v>20525752900</v>
      </c>
      <c r="F286" s="5" t="s">
        <v>1766</v>
      </c>
      <c r="G286" s="5" t="s">
        <v>1767</v>
      </c>
      <c r="H286" s="5" t="s">
        <v>187</v>
      </c>
      <c r="I286" s="5" t="s">
        <v>187</v>
      </c>
      <c r="J286" s="5" t="s">
        <v>357</v>
      </c>
      <c r="K286" s="5" t="s">
        <v>37</v>
      </c>
      <c r="L286" s="5" t="s">
        <v>172</v>
      </c>
      <c r="M286" s="5" t="s">
        <v>172</v>
      </c>
      <c r="N286" s="5" t="s">
        <v>296</v>
      </c>
      <c r="O286" s="5" t="s">
        <v>238</v>
      </c>
      <c r="P286" s="5" t="s">
        <v>78</v>
      </c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>
        <v>12000</v>
      </c>
      <c r="AB286" s="5">
        <v>3200</v>
      </c>
      <c r="AC286" s="6">
        <v>43970</v>
      </c>
      <c r="AD286" s="5" t="s">
        <v>42</v>
      </c>
      <c r="AE286" s="5" t="s">
        <v>1768</v>
      </c>
      <c r="AF286" s="5">
        <v>0</v>
      </c>
    </row>
    <row r="287" spans="1:32" ht="27.95" x14ac:dyDescent="0.3">
      <c r="A287" s="3">
        <v>281</v>
      </c>
      <c r="B287" s="3" t="str">
        <f>"201900152262"</f>
        <v>201900152262</v>
      </c>
      <c r="C287" s="3" t="str">
        <f>"144657"</f>
        <v>144657</v>
      </c>
      <c r="D287" s="3" t="s">
        <v>1769</v>
      </c>
      <c r="E287" s="3">
        <v>20511193045</v>
      </c>
      <c r="F287" s="3" t="s">
        <v>1770</v>
      </c>
      <c r="G287" s="3" t="s">
        <v>1771</v>
      </c>
      <c r="H287" s="3" t="s">
        <v>47</v>
      </c>
      <c r="I287" s="3" t="s">
        <v>159</v>
      </c>
      <c r="J287" s="3" t="s">
        <v>1772</v>
      </c>
      <c r="K287" s="3" t="s">
        <v>37</v>
      </c>
      <c r="L287" s="3" t="s">
        <v>63</v>
      </c>
      <c r="M287" s="3" t="s">
        <v>1773</v>
      </c>
      <c r="N287" s="3" t="s">
        <v>78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>
        <v>10000</v>
      </c>
      <c r="AB287" s="3">
        <v>3200</v>
      </c>
      <c r="AC287" s="4">
        <v>43727</v>
      </c>
      <c r="AD287" s="3" t="s">
        <v>42</v>
      </c>
      <c r="AE287" s="3" t="s">
        <v>1774</v>
      </c>
      <c r="AF287" s="3">
        <v>0</v>
      </c>
    </row>
    <row r="288" spans="1:32" ht="27.95" x14ac:dyDescent="0.3">
      <c r="A288" s="5">
        <v>282</v>
      </c>
      <c r="B288" s="5" t="str">
        <f>"201900189926"</f>
        <v>201900189926</v>
      </c>
      <c r="C288" s="5" t="str">
        <f>"6977"</f>
        <v>6977</v>
      </c>
      <c r="D288" s="5" t="s">
        <v>1775</v>
      </c>
      <c r="E288" s="5">
        <v>10100038248</v>
      </c>
      <c r="F288" s="5" t="s">
        <v>1776</v>
      </c>
      <c r="G288" s="5" t="s">
        <v>1777</v>
      </c>
      <c r="H288" s="5" t="s">
        <v>47</v>
      </c>
      <c r="I288" s="5" t="s">
        <v>159</v>
      </c>
      <c r="J288" s="5" t="s">
        <v>160</v>
      </c>
      <c r="K288" s="5" t="s">
        <v>37</v>
      </c>
      <c r="L288" s="5" t="s">
        <v>1778</v>
      </c>
      <c r="M288" s="5" t="s">
        <v>1779</v>
      </c>
      <c r="N288" s="5" t="s">
        <v>1780</v>
      </c>
      <c r="O288" s="5" t="s">
        <v>94</v>
      </c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>
        <v>8905</v>
      </c>
      <c r="AB288" s="5">
        <v>5000</v>
      </c>
      <c r="AC288" s="6">
        <v>43788</v>
      </c>
      <c r="AD288" s="5" t="s">
        <v>42</v>
      </c>
      <c r="AE288" s="5" t="s">
        <v>1776</v>
      </c>
      <c r="AF288" s="5">
        <v>0</v>
      </c>
    </row>
    <row r="289" spans="1:32" ht="27.95" x14ac:dyDescent="0.3">
      <c r="A289" s="3">
        <v>283</v>
      </c>
      <c r="B289" s="3" t="str">
        <f>"201900153524"</f>
        <v>201900153524</v>
      </c>
      <c r="C289" s="3" t="str">
        <f>"15703"</f>
        <v>15703</v>
      </c>
      <c r="D289" s="3" t="s">
        <v>1781</v>
      </c>
      <c r="E289" s="3">
        <v>20602650074</v>
      </c>
      <c r="F289" s="3" t="s">
        <v>1782</v>
      </c>
      <c r="G289" s="3" t="s">
        <v>1783</v>
      </c>
      <c r="H289" s="3" t="s">
        <v>125</v>
      </c>
      <c r="I289" s="3" t="s">
        <v>591</v>
      </c>
      <c r="J289" s="3" t="s">
        <v>591</v>
      </c>
      <c r="K289" s="3" t="s">
        <v>37</v>
      </c>
      <c r="L289" s="3" t="s">
        <v>72</v>
      </c>
      <c r="M289" s="3" t="s">
        <v>72</v>
      </c>
      <c r="N289" s="3" t="s">
        <v>1784</v>
      </c>
      <c r="O289" s="3" t="s">
        <v>94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>
        <v>24000</v>
      </c>
      <c r="AB289" s="3">
        <v>5000</v>
      </c>
      <c r="AC289" s="4">
        <v>43731</v>
      </c>
      <c r="AD289" s="3" t="s">
        <v>42</v>
      </c>
      <c r="AE289" s="3" t="s">
        <v>1785</v>
      </c>
      <c r="AF289" s="3">
        <v>0</v>
      </c>
    </row>
    <row r="290" spans="1:32" x14ac:dyDescent="0.3">
      <c r="A290" s="5">
        <v>284</v>
      </c>
      <c r="B290" s="5" t="str">
        <f>"201700038981"</f>
        <v>201700038981</v>
      </c>
      <c r="C290" s="5" t="str">
        <f>"19916"</f>
        <v>19916</v>
      </c>
      <c r="D290" s="5" t="s">
        <v>1786</v>
      </c>
      <c r="E290" s="5">
        <v>20127765279</v>
      </c>
      <c r="F290" s="5" t="s">
        <v>1787</v>
      </c>
      <c r="G290" s="5" t="s">
        <v>1788</v>
      </c>
      <c r="H290" s="5" t="s">
        <v>108</v>
      </c>
      <c r="I290" s="5" t="s">
        <v>1655</v>
      </c>
      <c r="J290" s="5" t="s">
        <v>1789</v>
      </c>
      <c r="K290" s="5" t="s">
        <v>37</v>
      </c>
      <c r="L290" s="5" t="s">
        <v>63</v>
      </c>
      <c r="M290" s="5" t="s">
        <v>959</v>
      </c>
      <c r="N290" s="5" t="s">
        <v>102</v>
      </c>
      <c r="O290" s="5" t="s">
        <v>413</v>
      </c>
      <c r="P290" s="5" t="s">
        <v>1790</v>
      </c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>
        <v>19700</v>
      </c>
      <c r="AB290" s="5">
        <v>5800</v>
      </c>
      <c r="AC290" s="6">
        <v>42816</v>
      </c>
      <c r="AD290" s="5" t="s">
        <v>42</v>
      </c>
      <c r="AE290" s="5" t="s">
        <v>1791</v>
      </c>
      <c r="AF290" s="5">
        <v>0</v>
      </c>
    </row>
    <row r="291" spans="1:32" ht="27.95" x14ac:dyDescent="0.3">
      <c r="A291" s="3">
        <v>285</v>
      </c>
      <c r="B291" s="3" t="str">
        <f>"201800066012"</f>
        <v>201800066012</v>
      </c>
      <c r="C291" s="3" t="str">
        <f>"120374"</f>
        <v>120374</v>
      </c>
      <c r="D291" s="3" t="s">
        <v>1792</v>
      </c>
      <c r="E291" s="3">
        <v>20600739175</v>
      </c>
      <c r="F291" s="3" t="s">
        <v>1793</v>
      </c>
      <c r="G291" s="3" t="s">
        <v>1794</v>
      </c>
      <c r="H291" s="3" t="s">
        <v>36</v>
      </c>
      <c r="I291" s="3" t="s">
        <v>409</v>
      </c>
      <c r="J291" s="3" t="s">
        <v>409</v>
      </c>
      <c r="K291" s="3" t="s">
        <v>37</v>
      </c>
      <c r="L291" s="3" t="s">
        <v>127</v>
      </c>
      <c r="M291" s="3" t="s">
        <v>1795</v>
      </c>
      <c r="N291" s="3" t="s">
        <v>78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>
        <v>11000</v>
      </c>
      <c r="AB291" s="3">
        <v>3200</v>
      </c>
      <c r="AC291" s="4">
        <v>43226</v>
      </c>
      <c r="AD291" s="3" t="s">
        <v>42</v>
      </c>
      <c r="AE291" s="3" t="s">
        <v>1796</v>
      </c>
      <c r="AF291" s="3">
        <v>0</v>
      </c>
    </row>
    <row r="292" spans="1:32" ht="27.95" x14ac:dyDescent="0.3">
      <c r="A292" s="5">
        <v>286</v>
      </c>
      <c r="B292" s="5" t="str">
        <f>"201900016460"</f>
        <v>201900016460</v>
      </c>
      <c r="C292" s="5" t="str">
        <f>"87317"</f>
        <v>87317</v>
      </c>
      <c r="D292" s="5" t="s">
        <v>1797</v>
      </c>
      <c r="E292" s="5">
        <v>20604085528</v>
      </c>
      <c r="F292" s="5" t="s">
        <v>1798</v>
      </c>
      <c r="G292" s="5" t="s">
        <v>1799</v>
      </c>
      <c r="H292" s="5" t="s">
        <v>116</v>
      </c>
      <c r="I292" s="5" t="s">
        <v>339</v>
      </c>
      <c r="J292" s="5" t="s">
        <v>340</v>
      </c>
      <c r="K292" s="5" t="s">
        <v>37</v>
      </c>
      <c r="L292" s="5" t="s">
        <v>72</v>
      </c>
      <c r="M292" s="5" t="s">
        <v>703</v>
      </c>
      <c r="N292" s="5" t="s">
        <v>562</v>
      </c>
      <c r="O292" s="5" t="s">
        <v>1800</v>
      </c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>
        <v>24000</v>
      </c>
      <c r="AB292" s="5">
        <v>4850</v>
      </c>
      <c r="AC292" s="6">
        <v>43500</v>
      </c>
      <c r="AD292" s="5" t="s">
        <v>42</v>
      </c>
      <c r="AE292" s="5" t="s">
        <v>1801</v>
      </c>
      <c r="AF292" s="5">
        <v>0</v>
      </c>
    </row>
    <row r="293" spans="1:32" x14ac:dyDescent="0.3">
      <c r="A293" s="3">
        <v>287</v>
      </c>
      <c r="B293" s="3" t="str">
        <f>"201700012962"</f>
        <v>201700012962</v>
      </c>
      <c r="C293" s="3" t="str">
        <f>"9661"</f>
        <v>9661</v>
      </c>
      <c r="D293" s="3" t="s">
        <v>1802</v>
      </c>
      <c r="E293" s="3">
        <v>20229246306</v>
      </c>
      <c r="F293" s="3" t="s">
        <v>1803</v>
      </c>
      <c r="G293" s="3" t="s">
        <v>1804</v>
      </c>
      <c r="H293" s="3" t="s">
        <v>108</v>
      </c>
      <c r="I293" s="3" t="s">
        <v>1468</v>
      </c>
      <c r="J293" s="3" t="s">
        <v>1805</v>
      </c>
      <c r="K293" s="3" t="s">
        <v>37</v>
      </c>
      <c r="L293" s="3" t="s">
        <v>172</v>
      </c>
      <c r="M293" s="3" t="s">
        <v>1806</v>
      </c>
      <c r="N293" s="3" t="s">
        <v>1807</v>
      </c>
      <c r="O293" s="3" t="s">
        <v>94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>
        <v>11000</v>
      </c>
      <c r="AB293" s="3">
        <v>5000</v>
      </c>
      <c r="AC293" s="4">
        <v>42773</v>
      </c>
      <c r="AD293" s="3" t="s">
        <v>42</v>
      </c>
      <c r="AE293" s="3" t="s">
        <v>1808</v>
      </c>
      <c r="AF293" s="3">
        <v>240</v>
      </c>
    </row>
    <row r="294" spans="1:32" x14ac:dyDescent="0.3">
      <c r="A294" s="5">
        <v>288</v>
      </c>
      <c r="B294" s="5" t="str">
        <f>"201900035228"</f>
        <v>201900035228</v>
      </c>
      <c r="C294" s="5" t="str">
        <f>"34547"</f>
        <v>34547</v>
      </c>
      <c r="D294" s="5" t="s">
        <v>1809</v>
      </c>
      <c r="E294" s="5">
        <v>20127765279</v>
      </c>
      <c r="F294" s="5" t="s">
        <v>1115</v>
      </c>
      <c r="G294" s="5" t="s">
        <v>1810</v>
      </c>
      <c r="H294" s="5" t="s">
        <v>219</v>
      </c>
      <c r="I294" s="5" t="s">
        <v>220</v>
      </c>
      <c r="J294" s="5" t="s">
        <v>220</v>
      </c>
      <c r="K294" s="5" t="s">
        <v>37</v>
      </c>
      <c r="L294" s="5" t="s">
        <v>1811</v>
      </c>
      <c r="M294" s="5" t="s">
        <v>263</v>
      </c>
      <c r="N294" s="5" t="s">
        <v>161</v>
      </c>
      <c r="O294" s="5" t="s">
        <v>63</v>
      </c>
      <c r="P294" s="5" t="s">
        <v>347</v>
      </c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>
        <v>19600</v>
      </c>
      <c r="AB294" s="5">
        <v>3100</v>
      </c>
      <c r="AC294" s="6">
        <v>43530</v>
      </c>
      <c r="AD294" s="5" t="s">
        <v>42</v>
      </c>
      <c r="AE294" s="5" t="s">
        <v>279</v>
      </c>
      <c r="AF294" s="5">
        <v>240</v>
      </c>
    </row>
    <row r="295" spans="1:32" ht="27.95" x14ac:dyDescent="0.3">
      <c r="A295" s="3">
        <v>289</v>
      </c>
      <c r="B295" s="3" t="str">
        <f>"201500046171"</f>
        <v>201500046171</v>
      </c>
      <c r="C295" s="3" t="str">
        <f>"9149"</f>
        <v>9149</v>
      </c>
      <c r="D295" s="3" t="s">
        <v>1812</v>
      </c>
      <c r="E295" s="3">
        <v>20100167892</v>
      </c>
      <c r="F295" s="3" t="s">
        <v>1813</v>
      </c>
      <c r="G295" s="3" t="s">
        <v>1814</v>
      </c>
      <c r="H295" s="3" t="s">
        <v>58</v>
      </c>
      <c r="I295" s="3" t="s">
        <v>58</v>
      </c>
      <c r="J295" s="3" t="s">
        <v>178</v>
      </c>
      <c r="K295" s="3" t="s">
        <v>37</v>
      </c>
      <c r="L295" s="3" t="s">
        <v>51</v>
      </c>
      <c r="M295" s="3" t="s">
        <v>50</v>
      </c>
      <c r="N295" s="3" t="s">
        <v>743</v>
      </c>
      <c r="O295" s="3" t="s">
        <v>166</v>
      </c>
      <c r="P295" s="3" t="s">
        <v>381</v>
      </c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>
        <v>27000</v>
      </c>
      <c r="AB295" s="3">
        <v>2000</v>
      </c>
      <c r="AC295" s="4">
        <v>42165</v>
      </c>
      <c r="AD295" s="3" t="s">
        <v>42</v>
      </c>
      <c r="AE295" s="3" t="s">
        <v>1815</v>
      </c>
      <c r="AF295" s="3">
        <v>0</v>
      </c>
    </row>
    <row r="296" spans="1:32" ht="27.95" x14ac:dyDescent="0.3">
      <c r="A296" s="5">
        <v>290</v>
      </c>
      <c r="B296" s="5" t="str">
        <f>"201600128050"</f>
        <v>201600128050</v>
      </c>
      <c r="C296" s="5" t="str">
        <f>"103658"</f>
        <v>103658</v>
      </c>
      <c r="D296" s="5" t="s">
        <v>1816</v>
      </c>
      <c r="E296" s="5">
        <v>20479898091</v>
      </c>
      <c r="F296" s="5" t="s">
        <v>1817</v>
      </c>
      <c r="G296" s="5" t="s">
        <v>1818</v>
      </c>
      <c r="H296" s="5" t="s">
        <v>36</v>
      </c>
      <c r="I296" s="5" t="s">
        <v>409</v>
      </c>
      <c r="J296" s="5" t="s">
        <v>1819</v>
      </c>
      <c r="K296" s="5" t="s">
        <v>37</v>
      </c>
      <c r="L296" s="5" t="s">
        <v>173</v>
      </c>
      <c r="M296" s="5" t="s">
        <v>285</v>
      </c>
      <c r="N296" s="5" t="s">
        <v>174</v>
      </c>
      <c r="O296" s="5" t="s">
        <v>1820</v>
      </c>
      <c r="P296" s="5" t="s">
        <v>78</v>
      </c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>
        <v>16000</v>
      </c>
      <c r="AB296" s="5">
        <v>3200</v>
      </c>
      <c r="AC296" s="6">
        <v>42626</v>
      </c>
      <c r="AD296" s="5" t="s">
        <v>42</v>
      </c>
      <c r="AE296" s="5" t="s">
        <v>1821</v>
      </c>
      <c r="AF296" s="5">
        <v>0</v>
      </c>
    </row>
    <row r="297" spans="1:32" x14ac:dyDescent="0.3">
      <c r="A297" s="3">
        <v>291</v>
      </c>
      <c r="B297" s="3" t="str">
        <f>"201900185709"</f>
        <v>201900185709</v>
      </c>
      <c r="C297" s="3" t="str">
        <f>"62373"</f>
        <v>62373</v>
      </c>
      <c r="D297" s="3" t="s">
        <v>1822</v>
      </c>
      <c r="E297" s="3">
        <v>20601278589</v>
      </c>
      <c r="F297" s="3" t="s">
        <v>1823</v>
      </c>
      <c r="G297" s="3" t="s">
        <v>1824</v>
      </c>
      <c r="H297" s="3" t="s">
        <v>36</v>
      </c>
      <c r="I297" s="3" t="s">
        <v>36</v>
      </c>
      <c r="J297" s="3" t="s">
        <v>36</v>
      </c>
      <c r="K297" s="3" t="s">
        <v>37</v>
      </c>
      <c r="L297" s="3" t="s">
        <v>1825</v>
      </c>
      <c r="M297" s="3" t="s">
        <v>1001</v>
      </c>
      <c r="N297" s="3" t="s">
        <v>1001</v>
      </c>
      <c r="O297" s="3" t="s">
        <v>650</v>
      </c>
      <c r="P297" s="3" t="s">
        <v>512</v>
      </c>
      <c r="Q297" s="3" t="s">
        <v>1826</v>
      </c>
      <c r="R297" s="3" t="s">
        <v>41</v>
      </c>
      <c r="S297" s="3"/>
      <c r="T297" s="3"/>
      <c r="U297" s="3"/>
      <c r="V297" s="3"/>
      <c r="W297" s="3"/>
      <c r="X297" s="3"/>
      <c r="Y297" s="3"/>
      <c r="Z297" s="3"/>
      <c r="AA297" s="3">
        <v>54000</v>
      </c>
      <c r="AB297" s="3">
        <v>10000</v>
      </c>
      <c r="AC297" s="4">
        <v>43788</v>
      </c>
      <c r="AD297" s="3" t="s">
        <v>42</v>
      </c>
      <c r="AE297" s="3" t="s">
        <v>1827</v>
      </c>
      <c r="AF297" s="3">
        <v>0</v>
      </c>
    </row>
    <row r="298" spans="1:32" x14ac:dyDescent="0.3">
      <c r="A298" s="5">
        <v>292</v>
      </c>
      <c r="B298" s="5" t="str">
        <f>"201800000805"</f>
        <v>201800000805</v>
      </c>
      <c r="C298" s="5" t="str">
        <f>"9523"</f>
        <v>9523</v>
      </c>
      <c r="D298" s="5" t="s">
        <v>1828</v>
      </c>
      <c r="E298" s="5">
        <v>20601437989</v>
      </c>
      <c r="F298" s="5" t="s">
        <v>1829</v>
      </c>
      <c r="G298" s="5" t="s">
        <v>1830</v>
      </c>
      <c r="H298" s="5" t="s">
        <v>219</v>
      </c>
      <c r="I298" s="5" t="s">
        <v>283</v>
      </c>
      <c r="J298" s="5" t="s">
        <v>1831</v>
      </c>
      <c r="K298" s="5" t="s">
        <v>37</v>
      </c>
      <c r="L298" s="5" t="s">
        <v>1832</v>
      </c>
      <c r="M298" s="5" t="s">
        <v>1832</v>
      </c>
      <c r="N298" s="5" t="s">
        <v>1833</v>
      </c>
      <c r="O298" s="5" t="s">
        <v>1834</v>
      </c>
      <c r="P298" s="5" t="s">
        <v>94</v>
      </c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>
        <v>16500</v>
      </c>
      <c r="AB298" s="5">
        <v>5000</v>
      </c>
      <c r="AC298" s="6">
        <v>43111</v>
      </c>
      <c r="AD298" s="5" t="s">
        <v>42</v>
      </c>
      <c r="AE298" s="5" t="s">
        <v>1835</v>
      </c>
      <c r="AF298" s="5">
        <v>720</v>
      </c>
    </row>
    <row r="299" spans="1:32" ht="41.95" x14ac:dyDescent="0.3">
      <c r="A299" s="3">
        <v>293</v>
      </c>
      <c r="B299" s="3" t="str">
        <f>"201900035223"</f>
        <v>201900035223</v>
      </c>
      <c r="C299" s="3" t="str">
        <f>"8247"</f>
        <v>8247</v>
      </c>
      <c r="D299" s="3" t="s">
        <v>1836</v>
      </c>
      <c r="E299" s="3">
        <v>20127765279</v>
      </c>
      <c r="F299" s="3" t="s">
        <v>1115</v>
      </c>
      <c r="G299" s="3" t="s">
        <v>1837</v>
      </c>
      <c r="H299" s="3" t="s">
        <v>58</v>
      </c>
      <c r="I299" s="3" t="s">
        <v>58</v>
      </c>
      <c r="J299" s="3" t="s">
        <v>485</v>
      </c>
      <c r="K299" s="3" t="s">
        <v>37</v>
      </c>
      <c r="L299" s="3" t="s">
        <v>1838</v>
      </c>
      <c r="M299" s="3" t="s">
        <v>248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>
        <v>32000</v>
      </c>
      <c r="AB299" s="3">
        <v>3000</v>
      </c>
      <c r="AC299" s="4">
        <v>43528</v>
      </c>
      <c r="AD299" s="3" t="s">
        <v>42</v>
      </c>
      <c r="AE299" s="3" t="s">
        <v>279</v>
      </c>
      <c r="AF299" s="3">
        <v>480</v>
      </c>
    </row>
    <row r="300" spans="1:32" ht="27.95" x14ac:dyDescent="0.3">
      <c r="A300" s="5">
        <v>294</v>
      </c>
      <c r="B300" s="5" t="str">
        <f>"201600120468"</f>
        <v>201600120468</v>
      </c>
      <c r="C300" s="5" t="str">
        <f>"16791"</f>
        <v>16791</v>
      </c>
      <c r="D300" s="5" t="s">
        <v>1839</v>
      </c>
      <c r="E300" s="5">
        <v>20492578305</v>
      </c>
      <c r="F300" s="5" t="s">
        <v>1840</v>
      </c>
      <c r="G300" s="5" t="s">
        <v>1841</v>
      </c>
      <c r="H300" s="5" t="s">
        <v>219</v>
      </c>
      <c r="I300" s="5" t="s">
        <v>568</v>
      </c>
      <c r="J300" s="5" t="s">
        <v>568</v>
      </c>
      <c r="K300" s="5" t="s">
        <v>37</v>
      </c>
      <c r="L300" s="5" t="s">
        <v>1842</v>
      </c>
      <c r="M300" s="5" t="s">
        <v>1843</v>
      </c>
      <c r="N300" s="5" t="s">
        <v>1844</v>
      </c>
      <c r="O300" s="5" t="s">
        <v>1845</v>
      </c>
      <c r="P300" s="5" t="s">
        <v>1289</v>
      </c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>
        <v>20900</v>
      </c>
      <c r="AB300" s="5">
        <v>5500</v>
      </c>
      <c r="AC300" s="6">
        <v>42604</v>
      </c>
      <c r="AD300" s="5" t="s">
        <v>42</v>
      </c>
      <c r="AE300" s="5" t="s">
        <v>1846</v>
      </c>
      <c r="AF300" s="5">
        <v>720</v>
      </c>
    </row>
    <row r="301" spans="1:32" x14ac:dyDescent="0.3">
      <c r="A301" s="3">
        <v>295</v>
      </c>
      <c r="B301" s="3" t="str">
        <f>"201700213924"</f>
        <v>201700213924</v>
      </c>
      <c r="C301" s="3" t="str">
        <f>"100436"</f>
        <v>100436</v>
      </c>
      <c r="D301" s="3" t="s">
        <v>1847</v>
      </c>
      <c r="E301" s="3">
        <v>20552397623</v>
      </c>
      <c r="F301" s="3" t="s">
        <v>1848</v>
      </c>
      <c r="G301" s="3" t="s">
        <v>1849</v>
      </c>
      <c r="H301" s="3" t="s">
        <v>58</v>
      </c>
      <c r="I301" s="3" t="s">
        <v>1108</v>
      </c>
      <c r="J301" s="3" t="s">
        <v>1850</v>
      </c>
      <c r="K301" s="3" t="s">
        <v>37</v>
      </c>
      <c r="L301" s="3" t="s">
        <v>527</v>
      </c>
      <c r="M301" s="3" t="s">
        <v>1851</v>
      </c>
      <c r="N301" s="3" t="s">
        <v>1852</v>
      </c>
      <c r="O301" s="3" t="s">
        <v>78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>
        <v>7000</v>
      </c>
      <c r="AB301" s="3">
        <v>3200</v>
      </c>
      <c r="AC301" s="4">
        <v>43100</v>
      </c>
      <c r="AD301" s="3" t="s">
        <v>42</v>
      </c>
      <c r="AE301" s="3" t="s">
        <v>1853</v>
      </c>
      <c r="AF301" s="3">
        <v>120</v>
      </c>
    </row>
    <row r="302" spans="1:32" ht="41.95" x14ac:dyDescent="0.3">
      <c r="A302" s="5">
        <v>296</v>
      </c>
      <c r="B302" s="5" t="str">
        <f>"201600028788"</f>
        <v>201600028788</v>
      </c>
      <c r="C302" s="5" t="str">
        <f>"18827"</f>
        <v>18827</v>
      </c>
      <c r="D302" s="5" t="s">
        <v>1854</v>
      </c>
      <c r="E302" s="5">
        <v>20424210146</v>
      </c>
      <c r="F302" s="5" t="s">
        <v>1855</v>
      </c>
      <c r="G302" s="5" t="s">
        <v>1856</v>
      </c>
      <c r="H302" s="5" t="s">
        <v>58</v>
      </c>
      <c r="I302" s="5" t="s">
        <v>58</v>
      </c>
      <c r="J302" s="5" t="s">
        <v>403</v>
      </c>
      <c r="K302" s="5" t="s">
        <v>37</v>
      </c>
      <c r="L302" s="5" t="s">
        <v>459</v>
      </c>
      <c r="M302" s="5" t="s">
        <v>238</v>
      </c>
      <c r="N302" s="5" t="s">
        <v>241</v>
      </c>
      <c r="O302" s="5" t="s">
        <v>1857</v>
      </c>
      <c r="P302" s="5" t="s">
        <v>248</v>
      </c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7000</v>
      </c>
      <c r="AB302" s="5">
        <v>3000</v>
      </c>
      <c r="AC302" s="6">
        <v>42436</v>
      </c>
      <c r="AD302" s="5" t="s">
        <v>42</v>
      </c>
      <c r="AE302" s="5" t="s">
        <v>1858</v>
      </c>
      <c r="AF302" s="5">
        <v>240</v>
      </c>
    </row>
    <row r="303" spans="1:32" x14ac:dyDescent="0.3">
      <c r="A303" s="3">
        <v>297</v>
      </c>
      <c r="B303" s="3" t="str">
        <f>"201800020603"</f>
        <v>201800020603</v>
      </c>
      <c r="C303" s="3" t="str">
        <f>"21008"</f>
        <v>21008</v>
      </c>
      <c r="D303" s="3" t="s">
        <v>1859</v>
      </c>
      <c r="E303" s="3">
        <v>20367707594</v>
      </c>
      <c r="F303" s="3" t="s">
        <v>1860</v>
      </c>
      <c r="G303" s="3" t="s">
        <v>1861</v>
      </c>
      <c r="H303" s="3" t="s">
        <v>47</v>
      </c>
      <c r="I303" s="3" t="s">
        <v>47</v>
      </c>
      <c r="J303" s="3" t="s">
        <v>47</v>
      </c>
      <c r="K303" s="3" t="s">
        <v>37</v>
      </c>
      <c r="L303" s="3" t="s">
        <v>63</v>
      </c>
      <c r="M303" s="3" t="s">
        <v>263</v>
      </c>
      <c r="N303" s="3" t="s">
        <v>664</v>
      </c>
      <c r="O303" s="3" t="s">
        <v>1367</v>
      </c>
      <c r="P303" s="3" t="s">
        <v>51</v>
      </c>
      <c r="Q303" s="3" t="s">
        <v>94</v>
      </c>
      <c r="R303" s="3"/>
      <c r="S303" s="3"/>
      <c r="T303" s="3"/>
      <c r="U303" s="3"/>
      <c r="V303" s="3"/>
      <c r="W303" s="3"/>
      <c r="X303" s="3"/>
      <c r="Y303" s="3"/>
      <c r="Z303" s="3"/>
      <c r="AA303" s="3">
        <v>23000</v>
      </c>
      <c r="AB303" s="3">
        <v>5000</v>
      </c>
      <c r="AC303" s="4">
        <v>43137</v>
      </c>
      <c r="AD303" s="3" t="s">
        <v>42</v>
      </c>
      <c r="AE303" s="3" t="s">
        <v>1862</v>
      </c>
      <c r="AF303" s="3">
        <v>480</v>
      </c>
    </row>
    <row r="304" spans="1:32" ht="27.95" x14ac:dyDescent="0.3">
      <c r="A304" s="5">
        <v>298</v>
      </c>
      <c r="B304" s="5" t="str">
        <f>"201800057054"</f>
        <v>201800057054</v>
      </c>
      <c r="C304" s="5" t="str">
        <f>"119556"</f>
        <v>119556</v>
      </c>
      <c r="D304" s="5" t="s">
        <v>1863</v>
      </c>
      <c r="E304" s="5">
        <v>20354793416</v>
      </c>
      <c r="F304" s="5" t="s">
        <v>1864</v>
      </c>
      <c r="G304" s="5" t="s">
        <v>1865</v>
      </c>
      <c r="H304" s="5" t="s">
        <v>219</v>
      </c>
      <c r="I304" s="5" t="s">
        <v>220</v>
      </c>
      <c r="J304" s="5" t="s">
        <v>220</v>
      </c>
      <c r="K304" s="5" t="s">
        <v>37</v>
      </c>
      <c r="L304" s="5" t="s">
        <v>102</v>
      </c>
      <c r="M304" s="5" t="s">
        <v>1866</v>
      </c>
      <c r="N304" s="5" t="s">
        <v>74</v>
      </c>
      <c r="O304" s="5" t="s">
        <v>78</v>
      </c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>
        <v>14000</v>
      </c>
      <c r="AB304" s="5">
        <v>3200</v>
      </c>
      <c r="AC304" s="6">
        <v>43205</v>
      </c>
      <c r="AD304" s="5" t="s">
        <v>42</v>
      </c>
      <c r="AE304" s="5" t="s">
        <v>705</v>
      </c>
      <c r="AF304" s="5">
        <v>0</v>
      </c>
    </row>
    <row r="305" spans="1:32" ht="27.95" x14ac:dyDescent="0.3">
      <c r="A305" s="3">
        <v>299</v>
      </c>
      <c r="B305" s="3" t="str">
        <f>"201800124062"</f>
        <v>201800124062</v>
      </c>
      <c r="C305" s="3" t="str">
        <f>"64009"</f>
        <v>64009</v>
      </c>
      <c r="D305" s="3" t="s">
        <v>1867</v>
      </c>
      <c r="E305" s="3">
        <v>20541370952</v>
      </c>
      <c r="F305" s="3" t="s">
        <v>1868</v>
      </c>
      <c r="G305" s="3" t="s">
        <v>1869</v>
      </c>
      <c r="H305" s="3" t="s">
        <v>108</v>
      </c>
      <c r="I305" s="3" t="s">
        <v>1468</v>
      </c>
      <c r="J305" s="3" t="s">
        <v>1468</v>
      </c>
      <c r="K305" s="3" t="s">
        <v>37</v>
      </c>
      <c r="L305" s="3" t="s">
        <v>1870</v>
      </c>
      <c r="M305" s="3" t="s">
        <v>1871</v>
      </c>
      <c r="N305" s="3" t="s">
        <v>120</v>
      </c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>
        <v>5840</v>
      </c>
      <c r="AB305" s="3">
        <v>3500</v>
      </c>
      <c r="AC305" s="4">
        <v>43313</v>
      </c>
      <c r="AD305" s="3" t="s">
        <v>42</v>
      </c>
      <c r="AE305" s="3" t="s">
        <v>1872</v>
      </c>
      <c r="AF305" s="3">
        <v>240</v>
      </c>
    </row>
    <row r="306" spans="1:32" ht="27.95" x14ac:dyDescent="0.3">
      <c r="A306" s="5">
        <v>300</v>
      </c>
      <c r="B306" s="5" t="str">
        <f>"201700163379"</f>
        <v>201700163379</v>
      </c>
      <c r="C306" s="5" t="str">
        <f>"117353"</f>
        <v>117353</v>
      </c>
      <c r="D306" s="5" t="s">
        <v>1873</v>
      </c>
      <c r="E306" s="5">
        <v>20600421701</v>
      </c>
      <c r="F306" s="5" t="s">
        <v>1874</v>
      </c>
      <c r="G306" s="5" t="s">
        <v>1875</v>
      </c>
      <c r="H306" s="5" t="s">
        <v>125</v>
      </c>
      <c r="I306" s="5" t="s">
        <v>125</v>
      </c>
      <c r="J306" s="5" t="s">
        <v>1876</v>
      </c>
      <c r="K306" s="5" t="s">
        <v>37</v>
      </c>
      <c r="L306" s="5" t="s">
        <v>172</v>
      </c>
      <c r="M306" s="5" t="s">
        <v>174</v>
      </c>
      <c r="N306" s="5" t="s">
        <v>555</v>
      </c>
      <c r="O306" s="5" t="s">
        <v>94</v>
      </c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>
        <v>11000</v>
      </c>
      <c r="AB306" s="5">
        <v>5000</v>
      </c>
      <c r="AC306" s="6">
        <v>43016</v>
      </c>
      <c r="AD306" s="5" t="s">
        <v>42</v>
      </c>
      <c r="AE306" s="5" t="s">
        <v>1877</v>
      </c>
      <c r="AF306" s="5">
        <v>0</v>
      </c>
    </row>
    <row r="307" spans="1:32" ht="27.95" x14ac:dyDescent="0.3">
      <c r="A307" s="3">
        <v>301</v>
      </c>
      <c r="B307" s="3" t="str">
        <f>"201700155197"</f>
        <v>201700155197</v>
      </c>
      <c r="C307" s="3" t="str">
        <f>"131930"</f>
        <v>131930</v>
      </c>
      <c r="D307" s="3" t="s">
        <v>1878</v>
      </c>
      <c r="E307" s="3">
        <v>20486613867</v>
      </c>
      <c r="F307" s="3" t="s">
        <v>1879</v>
      </c>
      <c r="G307" s="3" t="s">
        <v>1880</v>
      </c>
      <c r="H307" s="3" t="s">
        <v>108</v>
      </c>
      <c r="I307" s="3" t="s">
        <v>647</v>
      </c>
      <c r="J307" s="3" t="s">
        <v>846</v>
      </c>
      <c r="K307" s="3" t="s">
        <v>37</v>
      </c>
      <c r="L307" s="3" t="s">
        <v>166</v>
      </c>
      <c r="M307" s="3" t="s">
        <v>1881</v>
      </c>
      <c r="N307" s="3" t="s">
        <v>94</v>
      </c>
      <c r="O307" s="3" t="s">
        <v>94</v>
      </c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>
        <v>20000</v>
      </c>
      <c r="AB307" s="3">
        <v>10000</v>
      </c>
      <c r="AC307" s="4">
        <v>43006</v>
      </c>
      <c r="AD307" s="3" t="s">
        <v>42</v>
      </c>
      <c r="AE307" s="3" t="s">
        <v>1882</v>
      </c>
      <c r="AF307" s="3">
        <v>0</v>
      </c>
    </row>
    <row r="308" spans="1:32" ht="41.95" x14ac:dyDescent="0.3">
      <c r="A308" s="5">
        <v>302</v>
      </c>
      <c r="B308" s="5" t="str">
        <f>"201600044772"</f>
        <v>201600044772</v>
      </c>
      <c r="C308" s="5" t="str">
        <f>"82267"</f>
        <v>82267</v>
      </c>
      <c r="D308" s="5" t="s">
        <v>1883</v>
      </c>
      <c r="E308" s="5">
        <v>20521396271</v>
      </c>
      <c r="F308" s="5" t="s">
        <v>1884</v>
      </c>
      <c r="G308" s="5" t="s">
        <v>1885</v>
      </c>
      <c r="H308" s="5" t="s">
        <v>58</v>
      </c>
      <c r="I308" s="5" t="s">
        <v>58</v>
      </c>
      <c r="J308" s="5" t="s">
        <v>545</v>
      </c>
      <c r="K308" s="5" t="s">
        <v>37</v>
      </c>
      <c r="L308" s="5" t="s">
        <v>1886</v>
      </c>
      <c r="M308" s="5" t="s">
        <v>836</v>
      </c>
      <c r="N308" s="5" t="s">
        <v>1887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>
        <v>6197</v>
      </c>
      <c r="AB308" s="5">
        <v>4000</v>
      </c>
      <c r="AC308" s="6">
        <v>42468</v>
      </c>
      <c r="AD308" s="5" t="s">
        <v>42</v>
      </c>
      <c r="AE308" s="5" t="s">
        <v>1888</v>
      </c>
      <c r="AF308" s="5">
        <v>0</v>
      </c>
    </row>
    <row r="309" spans="1:32" x14ac:dyDescent="0.3">
      <c r="A309" s="3">
        <v>303</v>
      </c>
      <c r="B309" s="3" t="str">
        <f>"202000127208"</f>
        <v>202000127208</v>
      </c>
      <c r="C309" s="3" t="str">
        <f>"8065"</f>
        <v>8065</v>
      </c>
      <c r="D309" s="3" t="s">
        <v>1889</v>
      </c>
      <c r="E309" s="3">
        <v>20127765279</v>
      </c>
      <c r="F309" s="3" t="s">
        <v>1115</v>
      </c>
      <c r="G309" s="3" t="s">
        <v>1890</v>
      </c>
      <c r="H309" s="3" t="s">
        <v>58</v>
      </c>
      <c r="I309" s="3" t="s">
        <v>58</v>
      </c>
      <c r="J309" s="3" t="s">
        <v>1756</v>
      </c>
      <c r="K309" s="3" t="s">
        <v>37</v>
      </c>
      <c r="L309" s="3" t="s">
        <v>1111</v>
      </c>
      <c r="M309" s="3" t="s">
        <v>398</v>
      </c>
      <c r="N309" s="3" t="s">
        <v>161</v>
      </c>
      <c r="O309" s="3" t="s">
        <v>60</v>
      </c>
      <c r="P309" s="3" t="s">
        <v>53</v>
      </c>
      <c r="Q309" s="3" t="s">
        <v>72</v>
      </c>
      <c r="R309" s="3" t="s">
        <v>53</v>
      </c>
      <c r="S309" s="3" t="s">
        <v>775</v>
      </c>
      <c r="T309" s="3" t="s">
        <v>1891</v>
      </c>
      <c r="U309" s="3"/>
      <c r="V309" s="3"/>
      <c r="W309" s="3"/>
      <c r="X309" s="3"/>
      <c r="Y309" s="3"/>
      <c r="Z309" s="3"/>
      <c r="AA309" s="3">
        <v>50000</v>
      </c>
      <c r="AB309" s="3">
        <v>2140</v>
      </c>
      <c r="AC309" s="4">
        <v>44103</v>
      </c>
      <c r="AD309" s="3" t="s">
        <v>42</v>
      </c>
      <c r="AE309" s="3" t="s">
        <v>279</v>
      </c>
      <c r="AF309" s="3">
        <v>0</v>
      </c>
    </row>
    <row r="310" spans="1:32" ht="27.95" x14ac:dyDescent="0.3">
      <c r="A310" s="5">
        <v>304</v>
      </c>
      <c r="B310" s="5" t="str">
        <f>"201800094898"</f>
        <v>201800094898</v>
      </c>
      <c r="C310" s="5" t="str">
        <f>"136779"</f>
        <v>136779</v>
      </c>
      <c r="D310" s="5" t="s">
        <v>1892</v>
      </c>
      <c r="E310" s="5">
        <v>20600739175</v>
      </c>
      <c r="F310" s="5" t="s">
        <v>1893</v>
      </c>
      <c r="G310" s="5" t="s">
        <v>1894</v>
      </c>
      <c r="H310" s="5" t="s">
        <v>36</v>
      </c>
      <c r="I310" s="5" t="s">
        <v>409</v>
      </c>
      <c r="J310" s="5" t="s">
        <v>409</v>
      </c>
      <c r="K310" s="5" t="s">
        <v>37</v>
      </c>
      <c r="L310" s="5" t="s">
        <v>172</v>
      </c>
      <c r="M310" s="5" t="s">
        <v>1307</v>
      </c>
      <c r="N310" s="5" t="s">
        <v>464</v>
      </c>
      <c r="O310" s="5" t="s">
        <v>1348</v>
      </c>
      <c r="P310" s="5" t="s">
        <v>94</v>
      </c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>
        <v>13900</v>
      </c>
      <c r="AB310" s="5">
        <v>5000</v>
      </c>
      <c r="AC310" s="6">
        <v>43263</v>
      </c>
      <c r="AD310" s="5" t="s">
        <v>42</v>
      </c>
      <c r="AE310" s="5" t="s">
        <v>1796</v>
      </c>
      <c r="AF310" s="5">
        <v>0</v>
      </c>
    </row>
    <row r="311" spans="1:32" ht="27.95" x14ac:dyDescent="0.3">
      <c r="A311" s="3">
        <v>305</v>
      </c>
      <c r="B311" s="3" t="str">
        <f>"202000056405"</f>
        <v>202000056405</v>
      </c>
      <c r="C311" s="3" t="str">
        <f>"8421"</f>
        <v>8421</v>
      </c>
      <c r="D311" s="3" t="s">
        <v>1895</v>
      </c>
      <c r="E311" s="3">
        <v>20127765279</v>
      </c>
      <c r="F311" s="3" t="s">
        <v>1115</v>
      </c>
      <c r="G311" s="3" t="s">
        <v>1896</v>
      </c>
      <c r="H311" s="3" t="s">
        <v>187</v>
      </c>
      <c r="I311" s="3" t="s">
        <v>187</v>
      </c>
      <c r="J311" s="3" t="s">
        <v>187</v>
      </c>
      <c r="K311" s="3" t="s">
        <v>37</v>
      </c>
      <c r="L311" s="3" t="s">
        <v>61</v>
      </c>
      <c r="M311" s="3" t="s">
        <v>1897</v>
      </c>
      <c r="N311" s="3" t="s">
        <v>72</v>
      </c>
      <c r="O311" s="3" t="s">
        <v>154</v>
      </c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>
        <v>24000</v>
      </c>
      <c r="AB311" s="3">
        <v>6000</v>
      </c>
      <c r="AC311" s="4">
        <v>43964</v>
      </c>
      <c r="AD311" s="3" t="s">
        <v>42</v>
      </c>
      <c r="AE311" s="3" t="s">
        <v>1898</v>
      </c>
      <c r="AF311" s="3">
        <v>0</v>
      </c>
    </row>
    <row r="312" spans="1:32" ht="27.95" x14ac:dyDescent="0.3">
      <c r="A312" s="5">
        <v>306</v>
      </c>
      <c r="B312" s="5" t="str">
        <f>"201400165286"</f>
        <v>201400165286</v>
      </c>
      <c r="C312" s="5" t="str">
        <f>"14825"</f>
        <v>14825</v>
      </c>
      <c r="D312" s="5" t="s">
        <v>1899</v>
      </c>
      <c r="E312" s="5">
        <v>20406436722</v>
      </c>
      <c r="F312" s="5" t="s">
        <v>1900</v>
      </c>
      <c r="G312" s="5" t="s">
        <v>1901</v>
      </c>
      <c r="H312" s="5" t="s">
        <v>1902</v>
      </c>
      <c r="I312" s="5" t="s">
        <v>1902</v>
      </c>
      <c r="J312" s="5" t="s">
        <v>1902</v>
      </c>
      <c r="K312" s="5" t="s">
        <v>37</v>
      </c>
      <c r="L312" s="5" t="s">
        <v>1903</v>
      </c>
      <c r="M312" s="5" t="s">
        <v>1904</v>
      </c>
      <c r="N312" s="5" t="s">
        <v>1905</v>
      </c>
      <c r="O312" s="5" t="s">
        <v>1906</v>
      </c>
      <c r="P312" s="5" t="s">
        <v>54</v>
      </c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>
        <v>16600</v>
      </c>
      <c r="AB312" s="5">
        <v>4000</v>
      </c>
      <c r="AC312" s="6">
        <v>42018</v>
      </c>
      <c r="AD312" s="5" t="s">
        <v>42</v>
      </c>
      <c r="AE312" s="5" t="s">
        <v>1907</v>
      </c>
      <c r="AF312" s="5">
        <v>0</v>
      </c>
    </row>
    <row r="313" spans="1:32" ht="41.95" x14ac:dyDescent="0.3">
      <c r="A313" s="3">
        <v>307</v>
      </c>
      <c r="B313" s="3" t="str">
        <f>"201900068869"</f>
        <v>201900068869</v>
      </c>
      <c r="C313" s="3" t="str">
        <f>"98319"</f>
        <v>98319</v>
      </c>
      <c r="D313" s="3" t="s">
        <v>1908</v>
      </c>
      <c r="E313" s="3">
        <v>20282242819</v>
      </c>
      <c r="F313" s="3" t="s">
        <v>1909</v>
      </c>
      <c r="G313" s="3" t="s">
        <v>1910</v>
      </c>
      <c r="H313" s="3" t="s">
        <v>108</v>
      </c>
      <c r="I313" s="3" t="s">
        <v>647</v>
      </c>
      <c r="J313" s="3" t="s">
        <v>891</v>
      </c>
      <c r="K313" s="3" t="s">
        <v>37</v>
      </c>
      <c r="L313" s="3" t="s">
        <v>72</v>
      </c>
      <c r="M313" s="3" t="s">
        <v>72</v>
      </c>
      <c r="N313" s="3" t="s">
        <v>72</v>
      </c>
      <c r="O313" s="3" t="s">
        <v>1911</v>
      </c>
      <c r="P313" s="3" t="s">
        <v>94</v>
      </c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>
        <v>33000</v>
      </c>
      <c r="AB313" s="3">
        <v>5000</v>
      </c>
      <c r="AC313" s="4">
        <v>43584</v>
      </c>
      <c r="AD313" s="3" t="s">
        <v>42</v>
      </c>
      <c r="AE313" s="3" t="s">
        <v>1912</v>
      </c>
      <c r="AF313" s="3">
        <v>0</v>
      </c>
    </row>
    <row r="314" spans="1:32" ht="27.95" x14ac:dyDescent="0.3">
      <c r="A314" s="5">
        <v>308</v>
      </c>
      <c r="B314" s="5" t="str">
        <f>"201700027819"</f>
        <v>201700027819</v>
      </c>
      <c r="C314" s="5" t="str">
        <f>"97176"</f>
        <v>97176</v>
      </c>
      <c r="D314" s="5" t="s">
        <v>1913</v>
      </c>
      <c r="E314" s="5">
        <v>20549105506</v>
      </c>
      <c r="F314" s="5" t="s">
        <v>1914</v>
      </c>
      <c r="G314" s="5" t="s">
        <v>1915</v>
      </c>
      <c r="H314" s="5" t="s">
        <v>58</v>
      </c>
      <c r="I314" s="5" t="s">
        <v>58</v>
      </c>
      <c r="J314" s="5" t="s">
        <v>1756</v>
      </c>
      <c r="K314" s="5" t="s">
        <v>37</v>
      </c>
      <c r="L314" s="5" t="s">
        <v>1916</v>
      </c>
      <c r="M314" s="5" t="s">
        <v>1917</v>
      </c>
      <c r="N314" s="5" t="s">
        <v>103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>
        <v>6290</v>
      </c>
      <c r="AB314" s="5">
        <v>2500</v>
      </c>
      <c r="AC314" s="6">
        <v>42791</v>
      </c>
      <c r="AD314" s="5" t="s">
        <v>42</v>
      </c>
      <c r="AE314" s="5" t="s">
        <v>1918</v>
      </c>
      <c r="AF314" s="5">
        <v>0</v>
      </c>
    </row>
    <row r="315" spans="1:32" ht="27.95" x14ac:dyDescent="0.3">
      <c r="A315" s="3">
        <v>309</v>
      </c>
      <c r="B315" s="3" t="str">
        <f>"201900073654"</f>
        <v>201900073654</v>
      </c>
      <c r="C315" s="3" t="str">
        <f>"20982"</f>
        <v>20982</v>
      </c>
      <c r="D315" s="3" t="s">
        <v>1919</v>
      </c>
      <c r="E315" s="3">
        <v>20473935407</v>
      </c>
      <c r="F315" s="3" t="s">
        <v>1920</v>
      </c>
      <c r="G315" s="3" t="s">
        <v>1921</v>
      </c>
      <c r="H315" s="3" t="s">
        <v>58</v>
      </c>
      <c r="I315" s="3" t="s">
        <v>58</v>
      </c>
      <c r="J315" s="3" t="s">
        <v>1026</v>
      </c>
      <c r="K315" s="3" t="s">
        <v>37</v>
      </c>
      <c r="L315" s="3" t="s">
        <v>1922</v>
      </c>
      <c r="M315" s="3" t="s">
        <v>1923</v>
      </c>
      <c r="N315" s="3" t="s">
        <v>1924</v>
      </c>
      <c r="O315" s="3" t="s">
        <v>459</v>
      </c>
      <c r="P315" s="3" t="s">
        <v>1111</v>
      </c>
      <c r="Q315" s="3" t="s">
        <v>172</v>
      </c>
      <c r="R315" s="3" t="s">
        <v>120</v>
      </c>
      <c r="S315" s="3"/>
      <c r="T315" s="3"/>
      <c r="U315" s="3"/>
      <c r="V315" s="3"/>
      <c r="W315" s="3"/>
      <c r="X315" s="3"/>
      <c r="Y315" s="3"/>
      <c r="Z315" s="3"/>
      <c r="AA315" s="3">
        <v>27320</v>
      </c>
      <c r="AB315" s="3">
        <v>3500</v>
      </c>
      <c r="AC315" s="4">
        <v>43597</v>
      </c>
      <c r="AD315" s="3" t="s">
        <v>42</v>
      </c>
      <c r="AE315" s="3" t="s">
        <v>1925</v>
      </c>
      <c r="AF315" s="3">
        <v>480</v>
      </c>
    </row>
    <row r="316" spans="1:32" ht="27.95" x14ac:dyDescent="0.3">
      <c r="A316" s="5">
        <v>310</v>
      </c>
      <c r="B316" s="5" t="str">
        <f>"201900204147"</f>
        <v>201900204147</v>
      </c>
      <c r="C316" s="5" t="str">
        <f>"14691"</f>
        <v>14691</v>
      </c>
      <c r="D316" s="5" t="s">
        <v>1926</v>
      </c>
      <c r="E316" s="5">
        <v>20127765279</v>
      </c>
      <c r="F316" s="5" t="s">
        <v>1115</v>
      </c>
      <c r="G316" s="5" t="s">
        <v>1927</v>
      </c>
      <c r="H316" s="5" t="s">
        <v>58</v>
      </c>
      <c r="I316" s="5" t="s">
        <v>58</v>
      </c>
      <c r="J316" s="5" t="s">
        <v>1928</v>
      </c>
      <c r="K316" s="5" t="s">
        <v>37</v>
      </c>
      <c r="L316" s="5" t="s">
        <v>102</v>
      </c>
      <c r="M316" s="5" t="s">
        <v>743</v>
      </c>
      <c r="N316" s="5" t="s">
        <v>51</v>
      </c>
      <c r="O316" s="5" t="s">
        <v>50</v>
      </c>
      <c r="P316" s="5" t="s">
        <v>103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>
        <v>20000</v>
      </c>
      <c r="AB316" s="5">
        <v>2500</v>
      </c>
      <c r="AC316" s="6">
        <v>43811</v>
      </c>
      <c r="AD316" s="5" t="s">
        <v>42</v>
      </c>
      <c r="AE316" s="5" t="s">
        <v>279</v>
      </c>
      <c r="AF316" s="5">
        <v>120</v>
      </c>
    </row>
    <row r="317" spans="1:32" x14ac:dyDescent="0.3">
      <c r="A317" s="3">
        <v>311</v>
      </c>
      <c r="B317" s="3" t="str">
        <f>"202000071623"</f>
        <v>202000071623</v>
      </c>
      <c r="C317" s="3" t="str">
        <f>"60862"</f>
        <v>60862</v>
      </c>
      <c r="D317" s="3" t="s">
        <v>1929</v>
      </c>
      <c r="E317" s="3">
        <v>20572136630</v>
      </c>
      <c r="F317" s="3" t="s">
        <v>1930</v>
      </c>
      <c r="G317" s="3" t="s">
        <v>1931</v>
      </c>
      <c r="H317" s="3" t="s">
        <v>150</v>
      </c>
      <c r="I317" s="3" t="s">
        <v>151</v>
      </c>
      <c r="J317" s="3" t="s">
        <v>151</v>
      </c>
      <c r="K317" s="3" t="s">
        <v>37</v>
      </c>
      <c r="L317" s="3" t="s">
        <v>1932</v>
      </c>
      <c r="M317" s="3" t="s">
        <v>1933</v>
      </c>
      <c r="N317" s="3" t="s">
        <v>459</v>
      </c>
      <c r="O317" s="3" t="s">
        <v>1933</v>
      </c>
      <c r="P317" s="3" t="s">
        <v>120</v>
      </c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>
        <v>12000</v>
      </c>
      <c r="AB317" s="3">
        <v>3500</v>
      </c>
      <c r="AC317" s="4">
        <v>44007</v>
      </c>
      <c r="AD317" s="3" t="s">
        <v>42</v>
      </c>
      <c r="AE317" s="3" t="s">
        <v>1934</v>
      </c>
      <c r="AF317" s="3">
        <v>0</v>
      </c>
    </row>
    <row r="318" spans="1:32" ht="41.95" x14ac:dyDescent="0.3">
      <c r="A318" s="5">
        <v>312</v>
      </c>
      <c r="B318" s="5" t="str">
        <f>"201600008579"</f>
        <v>201600008579</v>
      </c>
      <c r="C318" s="5" t="str">
        <f>"41292"</f>
        <v>41292</v>
      </c>
      <c r="D318" s="5" t="s">
        <v>1935</v>
      </c>
      <c r="E318" s="5">
        <v>20515401076</v>
      </c>
      <c r="F318" s="5" t="s">
        <v>1936</v>
      </c>
      <c r="G318" s="5" t="s">
        <v>1937</v>
      </c>
      <c r="H318" s="5" t="s">
        <v>58</v>
      </c>
      <c r="I318" s="5" t="s">
        <v>498</v>
      </c>
      <c r="J318" s="5" t="s">
        <v>1938</v>
      </c>
      <c r="K318" s="5" t="s">
        <v>37</v>
      </c>
      <c r="L318" s="5" t="s">
        <v>102</v>
      </c>
      <c r="M318" s="5" t="s">
        <v>1939</v>
      </c>
      <c r="N318" s="5" t="s">
        <v>1940</v>
      </c>
      <c r="O318" s="5" t="s">
        <v>1941</v>
      </c>
      <c r="P318" s="5" t="s">
        <v>1942</v>
      </c>
      <c r="Q318" s="5" t="s">
        <v>322</v>
      </c>
      <c r="R318" s="5" t="s">
        <v>78</v>
      </c>
      <c r="S318" s="5"/>
      <c r="T318" s="5"/>
      <c r="U318" s="5"/>
      <c r="V318" s="5"/>
      <c r="W318" s="5"/>
      <c r="X318" s="5"/>
      <c r="Y318" s="5"/>
      <c r="Z318" s="5"/>
      <c r="AA318" s="5">
        <v>14497</v>
      </c>
      <c r="AB318" s="5">
        <v>3200</v>
      </c>
      <c r="AC318" s="6">
        <v>42402</v>
      </c>
      <c r="AD318" s="5" t="s">
        <v>42</v>
      </c>
      <c r="AE318" s="5" t="s">
        <v>1943</v>
      </c>
      <c r="AF318" s="5">
        <v>0</v>
      </c>
    </row>
    <row r="319" spans="1:32" ht="27.95" x14ac:dyDescent="0.3">
      <c r="A319" s="3">
        <v>313</v>
      </c>
      <c r="B319" s="3" t="str">
        <f>"202000054687"</f>
        <v>202000054687</v>
      </c>
      <c r="C319" s="3" t="str">
        <f>"128269"</f>
        <v>128269</v>
      </c>
      <c r="D319" s="3" t="s">
        <v>1944</v>
      </c>
      <c r="E319" s="3">
        <v>20479750263</v>
      </c>
      <c r="F319" s="3" t="s">
        <v>1945</v>
      </c>
      <c r="G319" s="3" t="s">
        <v>1946</v>
      </c>
      <c r="H319" s="3" t="s">
        <v>436</v>
      </c>
      <c r="I319" s="3" t="s">
        <v>1947</v>
      </c>
      <c r="J319" s="3" t="s">
        <v>1947</v>
      </c>
      <c r="K319" s="3" t="s">
        <v>37</v>
      </c>
      <c r="L319" s="3" t="s">
        <v>527</v>
      </c>
      <c r="M319" s="3" t="s">
        <v>1948</v>
      </c>
      <c r="N319" s="3" t="s">
        <v>1949</v>
      </c>
      <c r="O319" s="3" t="s">
        <v>1950</v>
      </c>
      <c r="P319" s="3" t="s">
        <v>94</v>
      </c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>
        <v>12800</v>
      </c>
      <c r="AB319" s="3">
        <v>5000</v>
      </c>
      <c r="AC319" s="4">
        <v>43958</v>
      </c>
      <c r="AD319" s="3" t="s">
        <v>42</v>
      </c>
      <c r="AE319" s="3" t="s">
        <v>1951</v>
      </c>
      <c r="AF319" s="3">
        <v>0</v>
      </c>
    </row>
    <row r="320" spans="1:32" ht="27.95" x14ac:dyDescent="0.3">
      <c r="A320" s="5">
        <v>314</v>
      </c>
      <c r="B320" s="5" t="str">
        <f>"202000151538"</f>
        <v>202000151538</v>
      </c>
      <c r="C320" s="5" t="str">
        <f>"62628"</f>
        <v>62628</v>
      </c>
      <c r="D320" s="5" t="s">
        <v>1952</v>
      </c>
      <c r="E320" s="5">
        <v>20127765279</v>
      </c>
      <c r="F320" s="5" t="s">
        <v>1115</v>
      </c>
      <c r="G320" s="5" t="s">
        <v>1953</v>
      </c>
      <c r="H320" s="5" t="s">
        <v>656</v>
      </c>
      <c r="I320" s="5" t="s">
        <v>656</v>
      </c>
      <c r="J320" s="5" t="s">
        <v>656</v>
      </c>
      <c r="K320" s="5" t="s">
        <v>37</v>
      </c>
      <c r="L320" s="5" t="s">
        <v>63</v>
      </c>
      <c r="M320" s="5" t="s">
        <v>161</v>
      </c>
      <c r="N320" s="5" t="s">
        <v>263</v>
      </c>
      <c r="O320" s="5" t="s">
        <v>1220</v>
      </c>
      <c r="P320" s="5" t="s">
        <v>1332</v>
      </c>
      <c r="Q320" s="5" t="s">
        <v>120</v>
      </c>
      <c r="R320" s="5"/>
      <c r="S320" s="5"/>
      <c r="T320" s="5"/>
      <c r="U320" s="5"/>
      <c r="V320" s="5"/>
      <c r="W320" s="5"/>
      <c r="X320" s="5"/>
      <c r="Y320" s="5"/>
      <c r="Z320" s="5"/>
      <c r="AA320" s="5">
        <v>26400</v>
      </c>
      <c r="AB320" s="5">
        <v>3500</v>
      </c>
      <c r="AC320" s="6">
        <v>44128</v>
      </c>
      <c r="AD320" s="5" t="s">
        <v>42</v>
      </c>
      <c r="AE320" s="5" t="s">
        <v>279</v>
      </c>
      <c r="AF320" s="5">
        <v>720</v>
      </c>
    </row>
    <row r="321" spans="1:32" ht="27.95" x14ac:dyDescent="0.3">
      <c r="A321" s="3">
        <v>315</v>
      </c>
      <c r="B321" s="3" t="str">
        <f>"201700164826"</f>
        <v>201700164826</v>
      </c>
      <c r="C321" s="3" t="str">
        <f>"119126"</f>
        <v>119126</v>
      </c>
      <c r="D321" s="3" t="s">
        <v>1954</v>
      </c>
      <c r="E321" s="3">
        <v>20600755090</v>
      </c>
      <c r="F321" s="3" t="s">
        <v>1955</v>
      </c>
      <c r="G321" s="3" t="s">
        <v>1956</v>
      </c>
      <c r="H321" s="3" t="s">
        <v>125</v>
      </c>
      <c r="I321" s="3" t="s">
        <v>509</v>
      </c>
      <c r="J321" s="3" t="s">
        <v>1957</v>
      </c>
      <c r="K321" s="3" t="s">
        <v>37</v>
      </c>
      <c r="L321" s="3" t="s">
        <v>1958</v>
      </c>
      <c r="M321" s="3" t="s">
        <v>41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>
        <v>10000</v>
      </c>
      <c r="AB321" s="3">
        <v>10000</v>
      </c>
      <c r="AC321" s="4">
        <v>43016</v>
      </c>
      <c r="AD321" s="3" t="s">
        <v>42</v>
      </c>
      <c r="AE321" s="3" t="s">
        <v>1959</v>
      </c>
      <c r="AF321" s="3">
        <v>720</v>
      </c>
    </row>
    <row r="322" spans="1:32" ht="27.95" x14ac:dyDescent="0.3">
      <c r="A322" s="5">
        <v>316</v>
      </c>
      <c r="B322" s="5" t="str">
        <f>"202000069732"</f>
        <v>202000069732</v>
      </c>
      <c r="C322" s="5" t="str">
        <f>"37839"</f>
        <v>37839</v>
      </c>
      <c r="D322" s="5" t="s">
        <v>1960</v>
      </c>
      <c r="E322" s="5">
        <v>20572215777</v>
      </c>
      <c r="F322" s="5" t="s">
        <v>1961</v>
      </c>
      <c r="G322" s="5" t="s">
        <v>1962</v>
      </c>
      <c r="H322" s="5" t="s">
        <v>150</v>
      </c>
      <c r="I322" s="5" t="s">
        <v>151</v>
      </c>
      <c r="J322" s="5" t="s">
        <v>151</v>
      </c>
      <c r="K322" s="5" t="s">
        <v>37</v>
      </c>
      <c r="L322" s="5" t="s">
        <v>172</v>
      </c>
      <c r="M322" s="5" t="s">
        <v>1963</v>
      </c>
      <c r="N322" s="5" t="s">
        <v>1964</v>
      </c>
      <c r="O322" s="5" t="s">
        <v>953</v>
      </c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>
        <v>12000</v>
      </c>
      <c r="AB322" s="5">
        <v>6400</v>
      </c>
      <c r="AC322" s="6">
        <v>44007</v>
      </c>
      <c r="AD322" s="5" t="s">
        <v>42</v>
      </c>
      <c r="AE322" s="5" t="s">
        <v>1965</v>
      </c>
      <c r="AF322" s="5">
        <v>0</v>
      </c>
    </row>
    <row r="323" spans="1:32" ht="27.95" x14ac:dyDescent="0.3">
      <c r="A323" s="3">
        <v>317</v>
      </c>
      <c r="B323" s="3" t="str">
        <f>"201800137961"</f>
        <v>201800137961</v>
      </c>
      <c r="C323" s="3" t="str">
        <f>"88618"</f>
        <v>88618</v>
      </c>
      <c r="D323" s="3" t="s">
        <v>1966</v>
      </c>
      <c r="E323" s="3">
        <v>20516903113</v>
      </c>
      <c r="F323" s="3" t="s">
        <v>1967</v>
      </c>
      <c r="G323" s="3" t="s">
        <v>1968</v>
      </c>
      <c r="H323" s="3" t="s">
        <v>58</v>
      </c>
      <c r="I323" s="3" t="s">
        <v>58</v>
      </c>
      <c r="J323" s="3" t="s">
        <v>626</v>
      </c>
      <c r="K323" s="3" t="s">
        <v>37</v>
      </c>
      <c r="L323" s="3" t="s">
        <v>1969</v>
      </c>
      <c r="M323" s="3" t="s">
        <v>63</v>
      </c>
      <c r="N323" s="3" t="s">
        <v>1110</v>
      </c>
      <c r="O323" s="3" t="s">
        <v>63</v>
      </c>
      <c r="P323" s="3" t="s">
        <v>381</v>
      </c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>
        <v>22000</v>
      </c>
      <c r="AB323" s="3">
        <v>2000</v>
      </c>
      <c r="AC323" s="4">
        <v>43334</v>
      </c>
      <c r="AD323" s="3" t="s">
        <v>42</v>
      </c>
      <c r="AE323" s="3" t="s">
        <v>1970</v>
      </c>
      <c r="AF323" s="3">
        <v>720</v>
      </c>
    </row>
    <row r="324" spans="1:32" ht="27.95" x14ac:dyDescent="0.3">
      <c r="A324" s="5">
        <v>318</v>
      </c>
      <c r="B324" s="5" t="str">
        <f>"201800207471"</f>
        <v>201800207471</v>
      </c>
      <c r="C324" s="5" t="str">
        <f>"36621"</f>
        <v>36621</v>
      </c>
      <c r="D324" s="5" t="s">
        <v>1971</v>
      </c>
      <c r="E324" s="5">
        <v>20492578305</v>
      </c>
      <c r="F324" s="5" t="s">
        <v>1840</v>
      </c>
      <c r="G324" s="5" t="s">
        <v>1972</v>
      </c>
      <c r="H324" s="5" t="s">
        <v>134</v>
      </c>
      <c r="I324" s="5" t="s">
        <v>134</v>
      </c>
      <c r="J324" s="5" t="s">
        <v>134</v>
      </c>
      <c r="K324" s="5" t="s">
        <v>37</v>
      </c>
      <c r="L324" s="5" t="s">
        <v>1973</v>
      </c>
      <c r="M324" s="5" t="s">
        <v>1974</v>
      </c>
      <c r="N324" s="5" t="s">
        <v>1975</v>
      </c>
      <c r="O324" s="5" t="s">
        <v>1976</v>
      </c>
      <c r="P324" s="5" t="s">
        <v>78</v>
      </c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24757</v>
      </c>
      <c r="AB324" s="5">
        <v>3200</v>
      </c>
      <c r="AC324" s="6">
        <v>43447</v>
      </c>
      <c r="AD324" s="5" t="s">
        <v>42</v>
      </c>
      <c r="AE324" s="5" t="s">
        <v>1977</v>
      </c>
      <c r="AF324" s="5">
        <v>0</v>
      </c>
    </row>
    <row r="325" spans="1:32" ht="27.95" x14ac:dyDescent="0.3">
      <c r="A325" s="3">
        <v>319</v>
      </c>
      <c r="B325" s="3" t="str">
        <f>"201600023632"</f>
        <v>201600023632</v>
      </c>
      <c r="C325" s="3" t="str">
        <f>"119998"</f>
        <v>119998</v>
      </c>
      <c r="D325" s="3" t="s">
        <v>1978</v>
      </c>
      <c r="E325" s="3">
        <v>20408062536</v>
      </c>
      <c r="F325" s="3" t="s">
        <v>1979</v>
      </c>
      <c r="G325" s="3" t="s">
        <v>1980</v>
      </c>
      <c r="H325" s="3" t="s">
        <v>58</v>
      </c>
      <c r="I325" s="3" t="s">
        <v>498</v>
      </c>
      <c r="J325" s="3" t="s">
        <v>1981</v>
      </c>
      <c r="K325" s="3" t="s">
        <v>37</v>
      </c>
      <c r="L325" s="3" t="s">
        <v>929</v>
      </c>
      <c r="M325" s="3" t="s">
        <v>929</v>
      </c>
      <c r="N325" s="3" t="s">
        <v>1844</v>
      </c>
      <c r="O325" s="3" t="s">
        <v>1982</v>
      </c>
      <c r="P325" s="3" t="s">
        <v>248</v>
      </c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>
        <v>22000</v>
      </c>
      <c r="AB325" s="3">
        <v>3000</v>
      </c>
      <c r="AC325" s="4">
        <v>42422</v>
      </c>
      <c r="AD325" s="3" t="s">
        <v>42</v>
      </c>
      <c r="AE325" s="3" t="s">
        <v>1983</v>
      </c>
      <c r="AF325" s="3">
        <v>0</v>
      </c>
    </row>
    <row r="326" spans="1:32" ht="27.95" x14ac:dyDescent="0.3">
      <c r="A326" s="5">
        <v>320</v>
      </c>
      <c r="B326" s="5" t="str">
        <f>"202000094734"</f>
        <v>202000094734</v>
      </c>
      <c r="C326" s="5" t="str">
        <f>"111707"</f>
        <v>111707</v>
      </c>
      <c r="D326" s="5" t="s">
        <v>1984</v>
      </c>
      <c r="E326" s="5">
        <v>20510435452</v>
      </c>
      <c r="F326" s="5" t="s">
        <v>1985</v>
      </c>
      <c r="G326" s="5" t="s">
        <v>1986</v>
      </c>
      <c r="H326" s="5" t="s">
        <v>108</v>
      </c>
      <c r="I326" s="5" t="s">
        <v>598</v>
      </c>
      <c r="J326" s="5" t="s">
        <v>618</v>
      </c>
      <c r="K326" s="5" t="s">
        <v>37</v>
      </c>
      <c r="L326" s="5" t="s">
        <v>166</v>
      </c>
      <c r="M326" s="5" t="s">
        <v>1987</v>
      </c>
      <c r="N326" s="5" t="s">
        <v>94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>
        <v>20000</v>
      </c>
      <c r="AB326" s="5">
        <v>5000</v>
      </c>
      <c r="AC326" s="6">
        <v>44045</v>
      </c>
      <c r="AD326" s="5" t="s">
        <v>42</v>
      </c>
      <c r="AE326" s="5" t="s">
        <v>1988</v>
      </c>
      <c r="AF326" s="5">
        <v>0</v>
      </c>
    </row>
    <row r="327" spans="1:32" ht="27.95" x14ac:dyDescent="0.3">
      <c r="A327" s="3">
        <v>321</v>
      </c>
      <c r="B327" s="3" t="str">
        <f>"202000028110"</f>
        <v>202000028110</v>
      </c>
      <c r="C327" s="3" t="str">
        <f>"17865"</f>
        <v>17865</v>
      </c>
      <c r="D327" s="3" t="s">
        <v>1989</v>
      </c>
      <c r="E327" s="3">
        <v>10070702075</v>
      </c>
      <c r="F327" s="3" t="s">
        <v>1041</v>
      </c>
      <c r="G327" s="3" t="s">
        <v>1990</v>
      </c>
      <c r="H327" s="3" t="s">
        <v>58</v>
      </c>
      <c r="I327" s="3" t="s">
        <v>58</v>
      </c>
      <c r="J327" s="3" t="s">
        <v>1338</v>
      </c>
      <c r="K327" s="3" t="s">
        <v>37</v>
      </c>
      <c r="L327" s="3" t="s">
        <v>1991</v>
      </c>
      <c r="M327" s="3" t="s">
        <v>555</v>
      </c>
      <c r="N327" s="3" t="s">
        <v>74</v>
      </c>
      <c r="O327" s="3" t="s">
        <v>63</v>
      </c>
      <c r="P327" s="3" t="s">
        <v>381</v>
      </c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>
        <v>15000</v>
      </c>
      <c r="AB327" s="3">
        <v>2000</v>
      </c>
      <c r="AC327" s="4">
        <v>43902</v>
      </c>
      <c r="AD327" s="3" t="s">
        <v>42</v>
      </c>
      <c r="AE327" s="3" t="s">
        <v>1041</v>
      </c>
      <c r="AF327" s="3">
        <v>120</v>
      </c>
    </row>
    <row r="328" spans="1:32" x14ac:dyDescent="0.3">
      <c r="A328" s="5">
        <v>322</v>
      </c>
      <c r="B328" s="5" t="str">
        <f>"201700019856"</f>
        <v>201700019856</v>
      </c>
      <c r="C328" s="5" t="str">
        <f>"18458"</f>
        <v>18458</v>
      </c>
      <c r="D328" s="5" t="s">
        <v>1992</v>
      </c>
      <c r="E328" s="5">
        <v>20531323328</v>
      </c>
      <c r="F328" s="5" t="s">
        <v>1993</v>
      </c>
      <c r="G328" s="5" t="s">
        <v>1994</v>
      </c>
      <c r="H328" s="5" t="s">
        <v>150</v>
      </c>
      <c r="I328" s="5" t="s">
        <v>150</v>
      </c>
      <c r="J328" s="5" t="s">
        <v>1995</v>
      </c>
      <c r="K328" s="5" t="s">
        <v>37</v>
      </c>
      <c r="L328" s="5" t="s">
        <v>1996</v>
      </c>
      <c r="M328" s="5" t="s">
        <v>1997</v>
      </c>
      <c r="N328" s="5" t="s">
        <v>1998</v>
      </c>
      <c r="O328" s="5" t="s">
        <v>1998</v>
      </c>
      <c r="P328" s="5" t="s">
        <v>1999</v>
      </c>
      <c r="Q328" s="5" t="s">
        <v>480</v>
      </c>
      <c r="R328" s="5"/>
      <c r="S328" s="5"/>
      <c r="T328" s="5"/>
      <c r="U328" s="5"/>
      <c r="V328" s="5"/>
      <c r="W328" s="5"/>
      <c r="X328" s="5"/>
      <c r="Y328" s="5"/>
      <c r="Z328" s="5"/>
      <c r="AA328" s="5">
        <v>40884</v>
      </c>
      <c r="AB328" s="5">
        <v>7800</v>
      </c>
      <c r="AC328" s="6">
        <v>42778</v>
      </c>
      <c r="AD328" s="5" t="s">
        <v>42</v>
      </c>
      <c r="AE328" s="5" t="s">
        <v>1827</v>
      </c>
      <c r="AF328" s="5">
        <v>0</v>
      </c>
    </row>
    <row r="329" spans="1:32" ht="41.95" x14ac:dyDescent="0.3">
      <c r="A329" s="3">
        <v>323</v>
      </c>
      <c r="B329" s="3" t="str">
        <f>"201900203923"</f>
        <v>201900203923</v>
      </c>
      <c r="C329" s="3" t="str">
        <f>"87887"</f>
        <v>87887</v>
      </c>
      <c r="D329" s="3" t="s">
        <v>2000</v>
      </c>
      <c r="E329" s="3">
        <v>20127765279</v>
      </c>
      <c r="F329" s="3" t="s">
        <v>1115</v>
      </c>
      <c r="G329" s="3" t="s">
        <v>2001</v>
      </c>
      <c r="H329" s="3" t="s">
        <v>219</v>
      </c>
      <c r="I329" s="3" t="s">
        <v>220</v>
      </c>
      <c r="J329" s="3" t="s">
        <v>220</v>
      </c>
      <c r="K329" s="3" t="s">
        <v>37</v>
      </c>
      <c r="L329" s="3" t="s">
        <v>2002</v>
      </c>
      <c r="M329" s="3" t="s">
        <v>2003</v>
      </c>
      <c r="N329" s="3" t="s">
        <v>103</v>
      </c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>
        <v>14500</v>
      </c>
      <c r="AB329" s="3">
        <v>2500</v>
      </c>
      <c r="AC329" s="4">
        <v>43810</v>
      </c>
      <c r="AD329" s="3" t="s">
        <v>42</v>
      </c>
      <c r="AE329" s="3" t="s">
        <v>279</v>
      </c>
      <c r="AF329" s="3">
        <v>120</v>
      </c>
    </row>
    <row r="330" spans="1:32" ht="27.95" x14ac:dyDescent="0.3">
      <c r="A330" s="5">
        <v>324</v>
      </c>
      <c r="B330" s="5" t="str">
        <f>"201800213370"</f>
        <v>201800213370</v>
      </c>
      <c r="C330" s="5" t="str">
        <f>"16616"</f>
        <v>16616</v>
      </c>
      <c r="D330" s="5" t="s">
        <v>2004</v>
      </c>
      <c r="E330" s="5">
        <v>20127765279</v>
      </c>
      <c r="F330" s="5" t="s">
        <v>273</v>
      </c>
      <c r="G330" s="5" t="s">
        <v>2005</v>
      </c>
      <c r="H330" s="5" t="s">
        <v>58</v>
      </c>
      <c r="I330" s="5" t="s">
        <v>58</v>
      </c>
      <c r="J330" s="5" t="s">
        <v>753</v>
      </c>
      <c r="K330" s="5" t="s">
        <v>37</v>
      </c>
      <c r="L330" s="5" t="s">
        <v>102</v>
      </c>
      <c r="M330" s="5" t="s">
        <v>50</v>
      </c>
      <c r="N330" s="5" t="s">
        <v>51</v>
      </c>
      <c r="O330" s="5" t="s">
        <v>2006</v>
      </c>
      <c r="P330" s="5" t="s">
        <v>248</v>
      </c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>
        <v>20000</v>
      </c>
      <c r="AB330" s="5">
        <v>3000</v>
      </c>
      <c r="AC330" s="6">
        <v>43467</v>
      </c>
      <c r="AD330" s="5" t="s">
        <v>42</v>
      </c>
      <c r="AE330" s="5" t="s">
        <v>1374</v>
      </c>
      <c r="AF330" s="5">
        <v>240</v>
      </c>
    </row>
    <row r="331" spans="1:32" ht="27.95" x14ac:dyDescent="0.3">
      <c r="A331" s="3">
        <v>325</v>
      </c>
      <c r="B331" s="3" t="str">
        <f>"201900073662"</f>
        <v>201900073662</v>
      </c>
      <c r="C331" s="3" t="str">
        <f>"7702"</f>
        <v>7702</v>
      </c>
      <c r="D331" s="3" t="s">
        <v>2007</v>
      </c>
      <c r="E331" s="3">
        <v>20534178418</v>
      </c>
      <c r="F331" s="3" t="s">
        <v>2008</v>
      </c>
      <c r="G331" s="3" t="s">
        <v>2009</v>
      </c>
      <c r="H331" s="3" t="s">
        <v>58</v>
      </c>
      <c r="I331" s="3" t="s">
        <v>498</v>
      </c>
      <c r="J331" s="3" t="s">
        <v>2010</v>
      </c>
      <c r="K331" s="3" t="s">
        <v>37</v>
      </c>
      <c r="L331" s="3" t="s">
        <v>2011</v>
      </c>
      <c r="M331" s="3" t="s">
        <v>2012</v>
      </c>
      <c r="N331" s="3" t="s">
        <v>2013</v>
      </c>
      <c r="O331" s="3" t="s">
        <v>248</v>
      </c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>
        <v>15262</v>
      </c>
      <c r="AB331" s="3">
        <v>3000</v>
      </c>
      <c r="AC331" s="4">
        <v>43597</v>
      </c>
      <c r="AD331" s="3" t="s">
        <v>42</v>
      </c>
      <c r="AE331" s="3" t="s">
        <v>1925</v>
      </c>
      <c r="AF331" s="3">
        <v>480</v>
      </c>
    </row>
    <row r="332" spans="1:32" ht="27.95" x14ac:dyDescent="0.3">
      <c r="A332" s="5">
        <v>326</v>
      </c>
      <c r="B332" s="5" t="str">
        <f>"201800110637"</f>
        <v>201800110637</v>
      </c>
      <c r="C332" s="5" t="str">
        <f>"104256"</f>
        <v>104256</v>
      </c>
      <c r="D332" s="5" t="s">
        <v>2014</v>
      </c>
      <c r="E332" s="5">
        <v>20518633482</v>
      </c>
      <c r="F332" s="5" t="s">
        <v>2015</v>
      </c>
      <c r="G332" s="5" t="s">
        <v>2016</v>
      </c>
      <c r="H332" s="5" t="s">
        <v>58</v>
      </c>
      <c r="I332" s="5" t="s">
        <v>58</v>
      </c>
      <c r="J332" s="5" t="s">
        <v>71</v>
      </c>
      <c r="K332" s="5" t="s">
        <v>37</v>
      </c>
      <c r="L332" s="5" t="s">
        <v>63</v>
      </c>
      <c r="M332" s="5" t="s">
        <v>2017</v>
      </c>
      <c r="N332" s="5" t="s">
        <v>78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>
        <v>12000</v>
      </c>
      <c r="AB332" s="5">
        <v>3200</v>
      </c>
      <c r="AC332" s="6">
        <v>43289</v>
      </c>
      <c r="AD332" s="5" t="s">
        <v>42</v>
      </c>
      <c r="AE332" s="5" t="s">
        <v>2018</v>
      </c>
      <c r="AF332" s="5">
        <v>720</v>
      </c>
    </row>
    <row r="333" spans="1:32" ht="27.95" x14ac:dyDescent="0.3">
      <c r="A333" s="3">
        <v>327</v>
      </c>
      <c r="B333" s="3" t="str">
        <f>"202000044288"</f>
        <v>202000044288</v>
      </c>
      <c r="C333" s="3" t="str">
        <f>"40256"</f>
        <v>40256</v>
      </c>
      <c r="D333" s="3" t="s">
        <v>2019</v>
      </c>
      <c r="E333" s="3">
        <v>20605983805</v>
      </c>
      <c r="F333" s="3" t="s">
        <v>2020</v>
      </c>
      <c r="G333" s="3" t="s">
        <v>2021</v>
      </c>
      <c r="H333" s="3" t="s">
        <v>999</v>
      </c>
      <c r="I333" s="3" t="s">
        <v>2022</v>
      </c>
      <c r="J333" s="3" t="s">
        <v>2022</v>
      </c>
      <c r="K333" s="3" t="s">
        <v>37</v>
      </c>
      <c r="L333" s="3" t="s">
        <v>1559</v>
      </c>
      <c r="M333" s="3" t="s">
        <v>682</v>
      </c>
      <c r="N333" s="3" t="s">
        <v>2023</v>
      </c>
      <c r="O333" s="3" t="s">
        <v>248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>
        <v>14800</v>
      </c>
      <c r="AB333" s="3">
        <v>3000</v>
      </c>
      <c r="AC333" s="4">
        <v>43913</v>
      </c>
      <c r="AD333" s="3" t="s">
        <v>42</v>
      </c>
      <c r="AE333" s="3" t="s">
        <v>2024</v>
      </c>
      <c r="AF333" s="3">
        <v>720</v>
      </c>
    </row>
    <row r="334" spans="1:32" ht="27.95" x14ac:dyDescent="0.3">
      <c r="A334" s="5">
        <v>328</v>
      </c>
      <c r="B334" s="5" t="str">
        <f>"201800203816"</f>
        <v>201800203816</v>
      </c>
      <c r="C334" s="5" t="str">
        <f>"17852"</f>
        <v>17852</v>
      </c>
      <c r="D334" s="5" t="s">
        <v>2025</v>
      </c>
      <c r="E334" s="5">
        <v>20511230935</v>
      </c>
      <c r="F334" s="5" t="s">
        <v>1181</v>
      </c>
      <c r="G334" s="5" t="s">
        <v>2026</v>
      </c>
      <c r="H334" s="5" t="s">
        <v>219</v>
      </c>
      <c r="I334" s="5" t="s">
        <v>2027</v>
      </c>
      <c r="J334" s="5" t="s">
        <v>2027</v>
      </c>
      <c r="K334" s="5" t="s">
        <v>37</v>
      </c>
      <c r="L334" s="5" t="s">
        <v>2028</v>
      </c>
      <c r="M334" s="5" t="s">
        <v>285</v>
      </c>
      <c r="N334" s="5" t="s">
        <v>322</v>
      </c>
      <c r="O334" s="5" t="s">
        <v>546</v>
      </c>
      <c r="P334" s="5" t="s">
        <v>1637</v>
      </c>
      <c r="Q334" s="5" t="s">
        <v>94</v>
      </c>
      <c r="R334" s="5"/>
      <c r="S334" s="5"/>
      <c r="T334" s="5"/>
      <c r="U334" s="5"/>
      <c r="V334" s="5"/>
      <c r="W334" s="5"/>
      <c r="X334" s="5"/>
      <c r="Y334" s="5"/>
      <c r="Z334" s="5"/>
      <c r="AA334" s="5">
        <v>15350</v>
      </c>
      <c r="AB334" s="5">
        <v>5000</v>
      </c>
      <c r="AC334" s="6">
        <v>43462</v>
      </c>
      <c r="AD334" s="5" t="s">
        <v>42</v>
      </c>
      <c r="AE334" s="5" t="s">
        <v>305</v>
      </c>
      <c r="AF334" s="5">
        <v>0</v>
      </c>
    </row>
    <row r="335" spans="1:32" ht="27.95" x14ac:dyDescent="0.3">
      <c r="A335" s="3">
        <v>329</v>
      </c>
      <c r="B335" s="3" t="str">
        <f>"201900204112"</f>
        <v>201900204112</v>
      </c>
      <c r="C335" s="3" t="str">
        <f>"104953"</f>
        <v>104953</v>
      </c>
      <c r="D335" s="3" t="s">
        <v>2029</v>
      </c>
      <c r="E335" s="3">
        <v>20127765279</v>
      </c>
      <c r="F335" s="3" t="s">
        <v>1115</v>
      </c>
      <c r="G335" s="3" t="s">
        <v>2030</v>
      </c>
      <c r="H335" s="3" t="s">
        <v>58</v>
      </c>
      <c r="I335" s="3" t="s">
        <v>58</v>
      </c>
      <c r="J335" s="3" t="s">
        <v>1267</v>
      </c>
      <c r="K335" s="3" t="s">
        <v>37</v>
      </c>
      <c r="L335" s="3" t="s">
        <v>2031</v>
      </c>
      <c r="M335" s="3" t="s">
        <v>2032</v>
      </c>
      <c r="N335" s="3" t="s">
        <v>2033</v>
      </c>
      <c r="O335" s="3" t="s">
        <v>2034</v>
      </c>
      <c r="P335" s="3" t="s">
        <v>248</v>
      </c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>
        <v>13838</v>
      </c>
      <c r="AB335" s="3">
        <v>3000</v>
      </c>
      <c r="AC335" s="4">
        <v>43809</v>
      </c>
      <c r="AD335" s="3" t="s">
        <v>42</v>
      </c>
      <c r="AE335" s="3" t="s">
        <v>279</v>
      </c>
      <c r="AF335" s="3">
        <v>0</v>
      </c>
    </row>
    <row r="336" spans="1:32" ht="27.95" x14ac:dyDescent="0.3">
      <c r="A336" s="5">
        <v>330</v>
      </c>
      <c r="B336" s="5" t="str">
        <f>"201800203819"</f>
        <v>201800203819</v>
      </c>
      <c r="C336" s="5" t="str">
        <f>"6848"</f>
        <v>6848</v>
      </c>
      <c r="D336" s="5" t="s">
        <v>2035</v>
      </c>
      <c r="E336" s="5">
        <v>20536053621</v>
      </c>
      <c r="F336" s="5" t="s">
        <v>1146</v>
      </c>
      <c r="G336" s="5" t="s">
        <v>2036</v>
      </c>
      <c r="H336" s="5" t="s">
        <v>219</v>
      </c>
      <c r="I336" s="5" t="s">
        <v>220</v>
      </c>
      <c r="J336" s="5" t="s">
        <v>2037</v>
      </c>
      <c r="K336" s="5" t="s">
        <v>37</v>
      </c>
      <c r="L336" s="5" t="s">
        <v>2038</v>
      </c>
      <c r="M336" s="5" t="s">
        <v>1367</v>
      </c>
      <c r="N336" s="5" t="s">
        <v>563</v>
      </c>
      <c r="O336" s="5" t="s">
        <v>555</v>
      </c>
      <c r="P336" s="5" t="s">
        <v>94</v>
      </c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>
        <v>22400</v>
      </c>
      <c r="AB336" s="5">
        <v>5000</v>
      </c>
      <c r="AC336" s="6">
        <v>43462</v>
      </c>
      <c r="AD336" s="5" t="s">
        <v>42</v>
      </c>
      <c r="AE336" s="5" t="s">
        <v>256</v>
      </c>
      <c r="AF336" s="5">
        <v>0</v>
      </c>
    </row>
    <row r="337" spans="1:32" ht="27.95" x14ac:dyDescent="0.3">
      <c r="A337" s="3">
        <v>331</v>
      </c>
      <c r="B337" s="3" t="str">
        <f>"202000068860"</f>
        <v>202000068860</v>
      </c>
      <c r="C337" s="3" t="str">
        <f>"107114"</f>
        <v>107114</v>
      </c>
      <c r="D337" s="3" t="s">
        <v>2039</v>
      </c>
      <c r="E337" s="3">
        <v>20568798113</v>
      </c>
      <c r="F337" s="3" t="s">
        <v>2040</v>
      </c>
      <c r="G337" s="3" t="s">
        <v>2041</v>
      </c>
      <c r="H337" s="3" t="s">
        <v>58</v>
      </c>
      <c r="I337" s="3" t="s">
        <v>554</v>
      </c>
      <c r="J337" s="3" t="s">
        <v>554</v>
      </c>
      <c r="K337" s="3" t="s">
        <v>37</v>
      </c>
      <c r="L337" s="3" t="s">
        <v>72</v>
      </c>
      <c r="M337" s="3" t="s">
        <v>2042</v>
      </c>
      <c r="N337" s="3" t="s">
        <v>78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>
        <v>16000</v>
      </c>
      <c r="AB337" s="3">
        <v>3200</v>
      </c>
      <c r="AC337" s="4">
        <v>44012</v>
      </c>
      <c r="AD337" s="3" t="s">
        <v>42</v>
      </c>
      <c r="AE337" s="3" t="s">
        <v>2043</v>
      </c>
      <c r="AF337" s="3">
        <v>0</v>
      </c>
    </row>
    <row r="338" spans="1:32" ht="27.95" x14ac:dyDescent="0.3">
      <c r="A338" s="5">
        <v>332</v>
      </c>
      <c r="B338" s="5" t="str">
        <f>"201900211757"</f>
        <v>201900211757</v>
      </c>
      <c r="C338" s="5" t="str">
        <f>"45724"</f>
        <v>45724</v>
      </c>
      <c r="D338" s="5" t="s">
        <v>2044</v>
      </c>
      <c r="E338" s="5">
        <v>20604063231</v>
      </c>
      <c r="F338" s="5" t="s">
        <v>2045</v>
      </c>
      <c r="G338" s="5" t="s">
        <v>2046</v>
      </c>
      <c r="H338" s="5" t="s">
        <v>638</v>
      </c>
      <c r="I338" s="5" t="s">
        <v>639</v>
      </c>
      <c r="J338" s="5" t="s">
        <v>640</v>
      </c>
      <c r="K338" s="5" t="s">
        <v>37</v>
      </c>
      <c r="L338" s="5" t="s">
        <v>2047</v>
      </c>
      <c r="M338" s="5" t="s">
        <v>2048</v>
      </c>
      <c r="N338" s="5" t="s">
        <v>2047</v>
      </c>
      <c r="O338" s="5" t="s">
        <v>2049</v>
      </c>
      <c r="P338" s="5" t="s">
        <v>78</v>
      </c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>
        <v>31618</v>
      </c>
      <c r="AB338" s="5">
        <v>3200</v>
      </c>
      <c r="AC338" s="6">
        <v>43823</v>
      </c>
      <c r="AD338" s="5" t="s">
        <v>42</v>
      </c>
      <c r="AE338" s="5" t="s">
        <v>674</v>
      </c>
      <c r="AF338" s="5">
        <v>0</v>
      </c>
    </row>
    <row r="339" spans="1:32" ht="27.95" x14ac:dyDescent="0.3">
      <c r="A339" s="3">
        <v>333</v>
      </c>
      <c r="B339" s="3" t="str">
        <f>"201800006495"</f>
        <v>201800006495</v>
      </c>
      <c r="C339" s="3" t="str">
        <f>"14648"</f>
        <v>14648</v>
      </c>
      <c r="D339" s="3" t="s">
        <v>2050</v>
      </c>
      <c r="E339" s="3">
        <v>20127765279</v>
      </c>
      <c r="F339" s="3" t="s">
        <v>1115</v>
      </c>
      <c r="G339" s="3" t="s">
        <v>2051</v>
      </c>
      <c r="H339" s="3" t="s">
        <v>58</v>
      </c>
      <c r="I339" s="3" t="s">
        <v>58</v>
      </c>
      <c r="J339" s="3" t="s">
        <v>59</v>
      </c>
      <c r="K339" s="3" t="s">
        <v>37</v>
      </c>
      <c r="L339" s="3" t="s">
        <v>60</v>
      </c>
      <c r="M339" s="3" t="s">
        <v>2052</v>
      </c>
      <c r="N339" s="3" t="s">
        <v>2053</v>
      </c>
      <c r="O339" s="3" t="s">
        <v>248</v>
      </c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>
        <v>24000</v>
      </c>
      <c r="AB339" s="3">
        <v>3000</v>
      </c>
      <c r="AC339" s="4">
        <v>43116</v>
      </c>
      <c r="AD339" s="3" t="s">
        <v>42</v>
      </c>
      <c r="AE339" s="3" t="s">
        <v>1791</v>
      </c>
      <c r="AF339" s="3">
        <v>480</v>
      </c>
    </row>
    <row r="340" spans="1:32" ht="27.95" x14ac:dyDescent="0.3">
      <c r="A340" s="5">
        <v>334</v>
      </c>
      <c r="B340" s="5" t="str">
        <f>"202000134686"</f>
        <v>202000134686</v>
      </c>
      <c r="C340" s="5" t="str">
        <f>"20111"</f>
        <v>20111</v>
      </c>
      <c r="D340" s="5" t="s">
        <v>2054</v>
      </c>
      <c r="E340" s="5">
        <v>20393159635</v>
      </c>
      <c r="F340" s="5" t="s">
        <v>2055</v>
      </c>
      <c r="G340" s="5" t="s">
        <v>2056</v>
      </c>
      <c r="H340" s="5" t="s">
        <v>638</v>
      </c>
      <c r="I340" s="5" t="s">
        <v>2057</v>
      </c>
      <c r="J340" s="5" t="s">
        <v>2057</v>
      </c>
      <c r="K340" s="5" t="s">
        <v>37</v>
      </c>
      <c r="L340" s="5" t="s">
        <v>593</v>
      </c>
      <c r="M340" s="5" t="s">
        <v>2058</v>
      </c>
      <c r="N340" s="5" t="s">
        <v>2059</v>
      </c>
      <c r="O340" s="5" t="s">
        <v>2060</v>
      </c>
      <c r="P340" s="5" t="s">
        <v>2061</v>
      </c>
      <c r="Q340" s="5" t="s">
        <v>2062</v>
      </c>
      <c r="R340" s="5"/>
      <c r="S340" s="5"/>
      <c r="T340" s="5"/>
      <c r="U340" s="5"/>
      <c r="V340" s="5"/>
      <c r="W340" s="5"/>
      <c r="X340" s="5"/>
      <c r="Y340" s="5"/>
      <c r="Z340" s="5"/>
      <c r="AA340" s="5">
        <v>26800</v>
      </c>
      <c r="AB340" s="5">
        <v>5700</v>
      </c>
      <c r="AC340" s="6">
        <v>44113</v>
      </c>
      <c r="AD340" s="5" t="s">
        <v>42</v>
      </c>
      <c r="AE340" s="5" t="s">
        <v>2063</v>
      </c>
      <c r="AF340" s="5">
        <v>0</v>
      </c>
    </row>
    <row r="341" spans="1:32" ht="27.95" x14ac:dyDescent="0.3">
      <c r="A341" s="3">
        <v>335</v>
      </c>
      <c r="B341" s="3" t="str">
        <f>"201900082579"</f>
        <v>201900082579</v>
      </c>
      <c r="C341" s="3" t="str">
        <f>"131257"</f>
        <v>131257</v>
      </c>
      <c r="D341" s="3" t="s">
        <v>2064</v>
      </c>
      <c r="E341" s="3">
        <v>20538941272</v>
      </c>
      <c r="F341" s="3" t="s">
        <v>2065</v>
      </c>
      <c r="G341" s="3" t="s">
        <v>2066</v>
      </c>
      <c r="H341" s="3" t="s">
        <v>36</v>
      </c>
      <c r="I341" s="3" t="s">
        <v>409</v>
      </c>
      <c r="J341" s="3" t="s">
        <v>738</v>
      </c>
      <c r="K341" s="3" t="s">
        <v>37</v>
      </c>
      <c r="L341" s="3" t="s">
        <v>102</v>
      </c>
      <c r="M341" s="3" t="s">
        <v>2067</v>
      </c>
      <c r="N341" s="3" t="s">
        <v>2068</v>
      </c>
      <c r="O341" s="3" t="s">
        <v>94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>
        <v>12000</v>
      </c>
      <c r="AB341" s="3">
        <v>5000</v>
      </c>
      <c r="AC341" s="4">
        <v>43611</v>
      </c>
      <c r="AD341" s="3" t="s">
        <v>42</v>
      </c>
      <c r="AE341" s="3" t="s">
        <v>2069</v>
      </c>
      <c r="AF341" s="3">
        <v>0</v>
      </c>
    </row>
    <row r="342" spans="1:32" x14ac:dyDescent="0.3">
      <c r="A342" s="5">
        <v>336</v>
      </c>
      <c r="B342" s="5" t="str">
        <f>"202000040999"</f>
        <v>202000040999</v>
      </c>
      <c r="C342" s="5" t="str">
        <f>"34592"</f>
        <v>34592</v>
      </c>
      <c r="D342" s="5" t="s">
        <v>2070</v>
      </c>
      <c r="E342" s="5">
        <v>20491192756</v>
      </c>
      <c r="F342" s="5" t="s">
        <v>2071</v>
      </c>
      <c r="G342" s="5" t="s">
        <v>2072</v>
      </c>
      <c r="H342" s="5" t="s">
        <v>2073</v>
      </c>
      <c r="I342" s="5" t="s">
        <v>2073</v>
      </c>
      <c r="J342" s="5" t="s">
        <v>2074</v>
      </c>
      <c r="K342" s="5" t="s">
        <v>37</v>
      </c>
      <c r="L342" s="5" t="s">
        <v>63</v>
      </c>
      <c r="M342" s="5" t="s">
        <v>263</v>
      </c>
      <c r="N342" s="5" t="s">
        <v>1111</v>
      </c>
      <c r="O342" s="5" t="s">
        <v>161</v>
      </c>
      <c r="P342" s="5" t="s">
        <v>664</v>
      </c>
      <c r="Q342" s="5" t="s">
        <v>78</v>
      </c>
      <c r="R342" s="5"/>
      <c r="S342" s="5"/>
      <c r="T342" s="5"/>
      <c r="U342" s="5"/>
      <c r="V342" s="5"/>
      <c r="W342" s="5"/>
      <c r="X342" s="5"/>
      <c r="Y342" s="5"/>
      <c r="Z342" s="5"/>
      <c r="AA342" s="5">
        <v>24000</v>
      </c>
      <c r="AB342" s="5">
        <v>3200</v>
      </c>
      <c r="AC342" s="6">
        <v>43895</v>
      </c>
      <c r="AD342" s="5" t="s">
        <v>42</v>
      </c>
      <c r="AE342" s="5" t="s">
        <v>2075</v>
      </c>
      <c r="AF342" s="5">
        <v>0</v>
      </c>
    </row>
    <row r="343" spans="1:32" ht="27.95" x14ac:dyDescent="0.3">
      <c r="A343" s="3">
        <v>337</v>
      </c>
      <c r="B343" s="3" t="str">
        <f>"201800048925"</f>
        <v>201800048925</v>
      </c>
      <c r="C343" s="3" t="str">
        <f>"135234"</f>
        <v>135234</v>
      </c>
      <c r="D343" s="3" t="s">
        <v>2076</v>
      </c>
      <c r="E343" s="3">
        <v>20602130259</v>
      </c>
      <c r="F343" s="3" t="s">
        <v>2077</v>
      </c>
      <c r="G343" s="3" t="s">
        <v>2078</v>
      </c>
      <c r="H343" s="3" t="s">
        <v>108</v>
      </c>
      <c r="I343" s="3" t="s">
        <v>647</v>
      </c>
      <c r="J343" s="3" t="s">
        <v>774</v>
      </c>
      <c r="K343" s="3" t="s">
        <v>37</v>
      </c>
      <c r="L343" s="3" t="s">
        <v>166</v>
      </c>
      <c r="M343" s="3" t="s">
        <v>166</v>
      </c>
      <c r="N343" s="3" t="s">
        <v>2079</v>
      </c>
      <c r="O343" s="3" t="s">
        <v>512</v>
      </c>
      <c r="P343" s="3" t="s">
        <v>41</v>
      </c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>
        <v>38000</v>
      </c>
      <c r="AB343" s="3">
        <v>10000</v>
      </c>
      <c r="AC343" s="4">
        <v>43186</v>
      </c>
      <c r="AD343" s="3" t="s">
        <v>42</v>
      </c>
      <c r="AE343" s="3" t="s">
        <v>2080</v>
      </c>
      <c r="AF343" s="3">
        <v>0</v>
      </c>
    </row>
    <row r="344" spans="1:32" ht="27.95" x14ac:dyDescent="0.3">
      <c r="A344" s="5">
        <v>338</v>
      </c>
      <c r="B344" s="5" t="str">
        <f>"202000071521"</f>
        <v>202000071521</v>
      </c>
      <c r="C344" s="5" t="str">
        <f>"111223"</f>
        <v>111223</v>
      </c>
      <c r="D344" s="5" t="s">
        <v>2081</v>
      </c>
      <c r="E344" s="5">
        <v>20558248867</v>
      </c>
      <c r="F344" s="5" t="s">
        <v>2082</v>
      </c>
      <c r="G344" s="5" t="s">
        <v>2083</v>
      </c>
      <c r="H344" s="5" t="s">
        <v>89</v>
      </c>
      <c r="I344" s="5" t="s">
        <v>2084</v>
      </c>
      <c r="J344" s="5" t="s">
        <v>2085</v>
      </c>
      <c r="K344" s="5" t="s">
        <v>37</v>
      </c>
      <c r="L344" s="5" t="s">
        <v>2086</v>
      </c>
      <c r="M344" s="5" t="s">
        <v>2087</v>
      </c>
      <c r="N344" s="5" t="s">
        <v>2088</v>
      </c>
      <c r="O344" s="5" t="s">
        <v>94</v>
      </c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>
        <v>15732</v>
      </c>
      <c r="AB344" s="5">
        <v>5000</v>
      </c>
      <c r="AC344" s="6">
        <v>44012</v>
      </c>
      <c r="AD344" s="5" t="s">
        <v>42</v>
      </c>
      <c r="AE344" s="5" t="s">
        <v>2089</v>
      </c>
      <c r="AF344" s="5">
        <v>0</v>
      </c>
    </row>
    <row r="345" spans="1:32" x14ac:dyDescent="0.3">
      <c r="A345" s="3">
        <v>339</v>
      </c>
      <c r="B345" s="3" t="str">
        <f>"202000058468"</f>
        <v>202000058468</v>
      </c>
      <c r="C345" s="3" t="str">
        <f>"6968"</f>
        <v>6968</v>
      </c>
      <c r="D345" s="3" t="s">
        <v>2090</v>
      </c>
      <c r="E345" s="3">
        <v>20102428430</v>
      </c>
      <c r="F345" s="3" t="s">
        <v>2091</v>
      </c>
      <c r="G345" s="3" t="s">
        <v>2092</v>
      </c>
      <c r="H345" s="3" t="s">
        <v>187</v>
      </c>
      <c r="I345" s="3" t="s">
        <v>187</v>
      </c>
      <c r="J345" s="3" t="s">
        <v>188</v>
      </c>
      <c r="K345" s="3" t="s">
        <v>37</v>
      </c>
      <c r="L345" s="3" t="s">
        <v>102</v>
      </c>
      <c r="M345" s="3" t="s">
        <v>51</v>
      </c>
      <c r="N345" s="3" t="s">
        <v>49</v>
      </c>
      <c r="O345" s="3" t="s">
        <v>102</v>
      </c>
      <c r="P345" s="3" t="s">
        <v>102</v>
      </c>
      <c r="Q345" s="3" t="s">
        <v>211</v>
      </c>
      <c r="R345" s="3" t="s">
        <v>248</v>
      </c>
      <c r="S345" s="3"/>
      <c r="T345" s="3"/>
      <c r="U345" s="3"/>
      <c r="V345" s="3"/>
      <c r="W345" s="3"/>
      <c r="X345" s="3"/>
      <c r="Y345" s="3"/>
      <c r="Z345" s="3"/>
      <c r="AA345" s="3">
        <v>28500</v>
      </c>
      <c r="AB345" s="3">
        <v>3000</v>
      </c>
      <c r="AC345" s="4">
        <v>43977</v>
      </c>
      <c r="AD345" s="3" t="s">
        <v>42</v>
      </c>
      <c r="AE345" s="3" t="s">
        <v>2093</v>
      </c>
      <c r="AF345" s="3">
        <v>0</v>
      </c>
    </row>
    <row r="346" spans="1:32" ht="27.95" x14ac:dyDescent="0.3">
      <c r="A346" s="5">
        <v>340</v>
      </c>
      <c r="B346" s="5" t="str">
        <f>"201800207489"</f>
        <v>201800207489</v>
      </c>
      <c r="C346" s="5" t="str">
        <f>"44237"</f>
        <v>44237</v>
      </c>
      <c r="D346" s="5" t="s">
        <v>2094</v>
      </c>
      <c r="E346" s="5">
        <v>10215437561</v>
      </c>
      <c r="F346" s="5" t="s">
        <v>2095</v>
      </c>
      <c r="G346" s="5" t="s">
        <v>2096</v>
      </c>
      <c r="H346" s="5" t="s">
        <v>47</v>
      </c>
      <c r="I346" s="5" t="s">
        <v>47</v>
      </c>
      <c r="J346" s="5" t="s">
        <v>1636</v>
      </c>
      <c r="K346" s="5" t="s">
        <v>37</v>
      </c>
      <c r="L346" s="5" t="s">
        <v>72</v>
      </c>
      <c r="M346" s="5" t="s">
        <v>314</v>
      </c>
      <c r="N346" s="5" t="s">
        <v>285</v>
      </c>
      <c r="O346" s="5" t="s">
        <v>174</v>
      </c>
      <c r="P346" s="5" t="s">
        <v>171</v>
      </c>
      <c r="Q346" s="5" t="s">
        <v>381</v>
      </c>
      <c r="R346" s="5"/>
      <c r="S346" s="5"/>
      <c r="T346" s="5"/>
      <c r="U346" s="5"/>
      <c r="V346" s="5"/>
      <c r="W346" s="5"/>
      <c r="X346" s="5"/>
      <c r="Y346" s="5"/>
      <c r="Z346" s="5"/>
      <c r="AA346" s="5">
        <v>22600</v>
      </c>
      <c r="AB346" s="5">
        <v>2000</v>
      </c>
      <c r="AC346" s="6">
        <v>43451</v>
      </c>
      <c r="AD346" s="5" t="s">
        <v>42</v>
      </c>
      <c r="AE346" s="5" t="s">
        <v>2095</v>
      </c>
      <c r="AF346" s="5">
        <v>720</v>
      </c>
    </row>
    <row r="347" spans="1:32" ht="27.95" x14ac:dyDescent="0.3">
      <c r="A347" s="3">
        <v>341</v>
      </c>
      <c r="B347" s="3" t="str">
        <f>"202000094725"</f>
        <v>202000094725</v>
      </c>
      <c r="C347" s="3" t="str">
        <f>"63381"</f>
        <v>63381</v>
      </c>
      <c r="D347" s="3" t="s">
        <v>2097</v>
      </c>
      <c r="E347" s="3">
        <v>20130680896</v>
      </c>
      <c r="F347" s="3" t="s">
        <v>2098</v>
      </c>
      <c r="G347" s="3" t="s">
        <v>2099</v>
      </c>
      <c r="H347" s="3" t="s">
        <v>532</v>
      </c>
      <c r="I347" s="3" t="s">
        <v>532</v>
      </c>
      <c r="J347" s="3" t="s">
        <v>2100</v>
      </c>
      <c r="K347" s="3" t="s">
        <v>37</v>
      </c>
      <c r="L347" s="3" t="s">
        <v>2101</v>
      </c>
      <c r="M347" s="3" t="s">
        <v>2102</v>
      </c>
      <c r="N347" s="3" t="s">
        <v>94</v>
      </c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>
        <v>14450</v>
      </c>
      <c r="AB347" s="3">
        <v>5000</v>
      </c>
      <c r="AC347" s="4">
        <v>44062</v>
      </c>
      <c r="AD347" s="3" t="s">
        <v>42</v>
      </c>
      <c r="AE347" s="3" t="s">
        <v>2103</v>
      </c>
      <c r="AF347" s="3">
        <v>0</v>
      </c>
    </row>
    <row r="348" spans="1:32" ht="27.95" x14ac:dyDescent="0.3">
      <c r="A348" s="5">
        <v>342</v>
      </c>
      <c r="B348" s="5" t="str">
        <f>"202000105321"</f>
        <v>202000105321</v>
      </c>
      <c r="C348" s="5" t="str">
        <f>"8507"</f>
        <v>8507</v>
      </c>
      <c r="D348" s="5" t="s">
        <v>2104</v>
      </c>
      <c r="E348" s="5">
        <v>20601635012</v>
      </c>
      <c r="F348" s="5" t="s">
        <v>2105</v>
      </c>
      <c r="G348" s="5" t="s">
        <v>2106</v>
      </c>
      <c r="H348" s="5" t="s">
        <v>47</v>
      </c>
      <c r="I348" s="5" t="s">
        <v>47</v>
      </c>
      <c r="J348" s="5" t="s">
        <v>48</v>
      </c>
      <c r="K348" s="5" t="s">
        <v>37</v>
      </c>
      <c r="L348" s="5" t="s">
        <v>238</v>
      </c>
      <c r="M348" s="5" t="s">
        <v>2107</v>
      </c>
      <c r="N348" s="5" t="s">
        <v>1367</v>
      </c>
      <c r="O348" s="5" t="s">
        <v>63</v>
      </c>
      <c r="P348" s="5" t="s">
        <v>248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>
        <v>14000</v>
      </c>
      <c r="AB348" s="5">
        <v>3000</v>
      </c>
      <c r="AC348" s="6">
        <v>44062</v>
      </c>
      <c r="AD348" s="5" t="s">
        <v>42</v>
      </c>
      <c r="AE348" s="5" t="s">
        <v>2108</v>
      </c>
      <c r="AF348" s="5">
        <v>300</v>
      </c>
    </row>
    <row r="349" spans="1:32" ht="27.95" x14ac:dyDescent="0.3">
      <c r="A349" s="3">
        <v>343</v>
      </c>
      <c r="B349" s="3" t="str">
        <f>"201700058925"</f>
        <v>201700058925</v>
      </c>
      <c r="C349" s="3" t="str">
        <f>"19904"</f>
        <v>19904</v>
      </c>
      <c r="D349" s="3" t="s">
        <v>2109</v>
      </c>
      <c r="E349" s="3">
        <v>20568647417</v>
      </c>
      <c r="F349" s="3" t="s">
        <v>2110</v>
      </c>
      <c r="G349" s="3" t="s">
        <v>2111</v>
      </c>
      <c r="H349" s="3" t="s">
        <v>108</v>
      </c>
      <c r="I349" s="3" t="s">
        <v>647</v>
      </c>
      <c r="J349" s="3" t="s">
        <v>647</v>
      </c>
      <c r="K349" s="3" t="s">
        <v>37</v>
      </c>
      <c r="L349" s="3" t="s">
        <v>464</v>
      </c>
      <c r="M349" s="3" t="s">
        <v>1307</v>
      </c>
      <c r="N349" s="3" t="s">
        <v>172</v>
      </c>
      <c r="O349" s="3" t="s">
        <v>2112</v>
      </c>
      <c r="P349" s="3" t="s">
        <v>172</v>
      </c>
      <c r="Q349" s="3" t="s">
        <v>94</v>
      </c>
      <c r="R349" s="3"/>
      <c r="S349" s="3"/>
      <c r="T349" s="3"/>
      <c r="U349" s="3"/>
      <c r="V349" s="3"/>
      <c r="W349" s="3"/>
      <c r="X349" s="3"/>
      <c r="Y349" s="3"/>
      <c r="Z349" s="3"/>
      <c r="AA349" s="3">
        <v>17200</v>
      </c>
      <c r="AB349" s="3">
        <v>5000</v>
      </c>
      <c r="AC349" s="4">
        <v>42853</v>
      </c>
      <c r="AD349" s="3" t="s">
        <v>42</v>
      </c>
      <c r="AE349" s="3" t="s">
        <v>142</v>
      </c>
      <c r="AF349" s="3">
        <v>0</v>
      </c>
    </row>
    <row r="350" spans="1:32" ht="27.95" x14ac:dyDescent="0.3">
      <c r="A350" s="5">
        <v>344</v>
      </c>
      <c r="B350" s="5" t="str">
        <f>"201900197365"</f>
        <v>201900197365</v>
      </c>
      <c r="C350" s="5" t="str">
        <f>"144526"</f>
        <v>144526</v>
      </c>
      <c r="D350" s="5" t="s">
        <v>2113</v>
      </c>
      <c r="E350" s="5">
        <v>20458378747</v>
      </c>
      <c r="F350" s="5" t="s">
        <v>680</v>
      </c>
      <c r="G350" s="5" t="s">
        <v>2114</v>
      </c>
      <c r="H350" s="5" t="s">
        <v>58</v>
      </c>
      <c r="I350" s="5" t="s">
        <v>58</v>
      </c>
      <c r="J350" s="5" t="s">
        <v>1338</v>
      </c>
      <c r="K350" s="5" t="s">
        <v>37</v>
      </c>
      <c r="L350" s="5" t="s">
        <v>63</v>
      </c>
      <c r="M350" s="5" t="s">
        <v>959</v>
      </c>
      <c r="N350" s="5" t="s">
        <v>960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>
        <v>18000</v>
      </c>
      <c r="AB350" s="5">
        <v>3200</v>
      </c>
      <c r="AC350" s="6">
        <v>43802</v>
      </c>
      <c r="AD350" s="5" t="s">
        <v>42</v>
      </c>
      <c r="AE350" s="5" t="s">
        <v>685</v>
      </c>
      <c r="AF350" s="5">
        <v>0</v>
      </c>
    </row>
    <row r="351" spans="1:32" ht="27.95" x14ac:dyDescent="0.3">
      <c r="A351" s="3">
        <v>345</v>
      </c>
      <c r="B351" s="3" t="str">
        <f>"201700082032"</f>
        <v>201700082032</v>
      </c>
      <c r="C351" s="3" t="str">
        <f>"63591"</f>
        <v>63591</v>
      </c>
      <c r="D351" s="3" t="s">
        <v>2115</v>
      </c>
      <c r="E351" s="3">
        <v>20544097963</v>
      </c>
      <c r="F351" s="3" t="s">
        <v>2116</v>
      </c>
      <c r="G351" s="3" t="s">
        <v>2117</v>
      </c>
      <c r="H351" s="3" t="s">
        <v>58</v>
      </c>
      <c r="I351" s="3" t="s">
        <v>58</v>
      </c>
      <c r="J351" s="3" t="s">
        <v>99</v>
      </c>
      <c r="K351" s="3" t="s">
        <v>37</v>
      </c>
      <c r="L351" s="3" t="s">
        <v>459</v>
      </c>
      <c r="M351" s="3" t="s">
        <v>2118</v>
      </c>
      <c r="N351" s="3" t="s">
        <v>2119</v>
      </c>
      <c r="O351" s="3" t="s">
        <v>103</v>
      </c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>
        <v>5600</v>
      </c>
      <c r="AB351" s="3">
        <v>2500</v>
      </c>
      <c r="AC351" s="4">
        <v>42885</v>
      </c>
      <c r="AD351" s="3" t="s">
        <v>42</v>
      </c>
      <c r="AE351" s="3" t="s">
        <v>2120</v>
      </c>
      <c r="AF351" s="3">
        <v>0</v>
      </c>
    </row>
    <row r="352" spans="1:32" x14ac:dyDescent="0.3">
      <c r="A352" s="5">
        <v>346</v>
      </c>
      <c r="B352" s="5" t="str">
        <f>"201900135830"</f>
        <v>201900135830</v>
      </c>
      <c r="C352" s="5" t="str">
        <f>"18618"</f>
        <v>18618</v>
      </c>
      <c r="D352" s="5" t="s">
        <v>2121</v>
      </c>
      <c r="E352" s="5">
        <v>20602703488</v>
      </c>
      <c r="F352" s="5" t="s">
        <v>2122</v>
      </c>
      <c r="G352" s="5" t="s">
        <v>2123</v>
      </c>
      <c r="H352" s="5" t="s">
        <v>108</v>
      </c>
      <c r="I352" s="5" t="s">
        <v>852</v>
      </c>
      <c r="J352" s="5" t="s">
        <v>2124</v>
      </c>
      <c r="K352" s="5" t="s">
        <v>37</v>
      </c>
      <c r="L352" s="5" t="s">
        <v>2125</v>
      </c>
      <c r="M352" s="5" t="s">
        <v>2126</v>
      </c>
      <c r="N352" s="5" t="s">
        <v>94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>
        <v>9500</v>
      </c>
      <c r="AB352" s="5">
        <v>5000</v>
      </c>
      <c r="AC352" s="6">
        <v>43698</v>
      </c>
      <c r="AD352" s="5" t="s">
        <v>42</v>
      </c>
      <c r="AE352" s="5" t="s">
        <v>2127</v>
      </c>
      <c r="AF352" s="5">
        <v>200</v>
      </c>
    </row>
    <row r="353" spans="1:32" ht="27.95" x14ac:dyDescent="0.3">
      <c r="A353" s="3">
        <v>347</v>
      </c>
      <c r="B353" s="3" t="str">
        <f>"202000018417"</f>
        <v>202000018417</v>
      </c>
      <c r="C353" s="3" t="str">
        <f>"124573"</f>
        <v>124573</v>
      </c>
      <c r="D353" s="3" t="s">
        <v>2128</v>
      </c>
      <c r="E353" s="3">
        <v>20601544998</v>
      </c>
      <c r="F353" s="3" t="s">
        <v>2129</v>
      </c>
      <c r="G353" s="3" t="s">
        <v>2130</v>
      </c>
      <c r="H353" s="3" t="s">
        <v>219</v>
      </c>
      <c r="I353" s="3" t="s">
        <v>568</v>
      </c>
      <c r="J353" s="3" t="s">
        <v>569</v>
      </c>
      <c r="K353" s="3" t="s">
        <v>37</v>
      </c>
      <c r="L353" s="3" t="s">
        <v>74</v>
      </c>
      <c r="M353" s="3" t="s">
        <v>1367</v>
      </c>
      <c r="N353" s="3" t="s">
        <v>76</v>
      </c>
      <c r="O353" s="3" t="s">
        <v>102</v>
      </c>
      <c r="P353" s="3" t="s">
        <v>72</v>
      </c>
      <c r="Q353" s="3" t="s">
        <v>66</v>
      </c>
      <c r="R353" s="3"/>
      <c r="S353" s="3"/>
      <c r="T353" s="3"/>
      <c r="U353" s="3"/>
      <c r="V353" s="3"/>
      <c r="W353" s="3"/>
      <c r="X353" s="3"/>
      <c r="Y353" s="3"/>
      <c r="Z353" s="3"/>
      <c r="AA353" s="3">
        <v>21000</v>
      </c>
      <c r="AB353" s="3">
        <v>4500</v>
      </c>
      <c r="AC353" s="4">
        <v>43866</v>
      </c>
      <c r="AD353" s="3" t="s">
        <v>42</v>
      </c>
      <c r="AE353" s="3" t="s">
        <v>2131</v>
      </c>
      <c r="AF353" s="3">
        <v>720</v>
      </c>
    </row>
    <row r="354" spans="1:32" ht="27.95" x14ac:dyDescent="0.3">
      <c r="A354" s="5">
        <v>348</v>
      </c>
      <c r="B354" s="5" t="str">
        <f>"201900062062"</f>
        <v>201900062062</v>
      </c>
      <c r="C354" s="5" t="str">
        <f>"8979"</f>
        <v>8979</v>
      </c>
      <c r="D354" s="5" t="s">
        <v>2132</v>
      </c>
      <c r="E354" s="5">
        <v>20127765279</v>
      </c>
      <c r="F354" s="5" t="s">
        <v>1115</v>
      </c>
      <c r="G354" s="5" t="s">
        <v>2133</v>
      </c>
      <c r="H354" s="5" t="s">
        <v>36</v>
      </c>
      <c r="I354" s="5" t="s">
        <v>409</v>
      </c>
      <c r="J354" s="5" t="s">
        <v>409</v>
      </c>
      <c r="K354" s="5" t="s">
        <v>37</v>
      </c>
      <c r="L354" s="5" t="s">
        <v>2134</v>
      </c>
      <c r="M354" s="5" t="s">
        <v>2135</v>
      </c>
      <c r="N354" s="5" t="s">
        <v>2136</v>
      </c>
      <c r="O354" s="5" t="s">
        <v>2137</v>
      </c>
      <c r="P354" s="5" t="s">
        <v>248</v>
      </c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>
        <v>32001</v>
      </c>
      <c r="AB354" s="5">
        <v>3000</v>
      </c>
      <c r="AC354" s="6">
        <v>43580</v>
      </c>
      <c r="AD354" s="5" t="s">
        <v>42</v>
      </c>
      <c r="AE354" s="5" t="s">
        <v>279</v>
      </c>
      <c r="AF354" s="5">
        <v>0</v>
      </c>
    </row>
    <row r="355" spans="1:32" ht="41.95" x14ac:dyDescent="0.3">
      <c r="A355" s="3">
        <v>349</v>
      </c>
      <c r="B355" s="3" t="str">
        <f>"201900128422"</f>
        <v>201900128422</v>
      </c>
      <c r="C355" s="3" t="str">
        <f>"88714"</f>
        <v>88714</v>
      </c>
      <c r="D355" s="3" t="s">
        <v>2138</v>
      </c>
      <c r="E355" s="3">
        <v>20502794052</v>
      </c>
      <c r="F355" s="3" t="s">
        <v>2139</v>
      </c>
      <c r="G355" s="3" t="s">
        <v>2140</v>
      </c>
      <c r="H355" s="3" t="s">
        <v>219</v>
      </c>
      <c r="I355" s="3" t="s">
        <v>220</v>
      </c>
      <c r="J355" s="3" t="s">
        <v>220</v>
      </c>
      <c r="K355" s="3" t="s">
        <v>37</v>
      </c>
      <c r="L355" s="3" t="s">
        <v>2141</v>
      </c>
      <c r="M355" s="3" t="s">
        <v>103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>
        <v>5000</v>
      </c>
      <c r="AB355" s="3">
        <v>2500</v>
      </c>
      <c r="AC355" s="4">
        <v>43704</v>
      </c>
      <c r="AD355" s="3" t="s">
        <v>42</v>
      </c>
      <c r="AE355" s="3" t="s">
        <v>2142</v>
      </c>
      <c r="AF355" s="3">
        <v>0</v>
      </c>
    </row>
    <row r="356" spans="1:32" x14ac:dyDescent="0.3">
      <c r="A356" s="5">
        <v>350</v>
      </c>
      <c r="B356" s="5" t="str">
        <f>"201800002944"</f>
        <v>201800002944</v>
      </c>
      <c r="C356" s="5" t="str">
        <f>"14446"</f>
        <v>14446</v>
      </c>
      <c r="D356" s="5" t="s">
        <v>2143</v>
      </c>
      <c r="E356" s="5">
        <v>20455795576</v>
      </c>
      <c r="F356" s="5" t="s">
        <v>2144</v>
      </c>
      <c r="G356" s="5" t="s">
        <v>2145</v>
      </c>
      <c r="H356" s="5" t="s">
        <v>89</v>
      </c>
      <c r="I356" s="5" t="s">
        <v>2084</v>
      </c>
      <c r="J356" s="5" t="s">
        <v>2085</v>
      </c>
      <c r="K356" s="5" t="s">
        <v>37</v>
      </c>
      <c r="L356" s="5" t="s">
        <v>172</v>
      </c>
      <c r="M356" s="5" t="s">
        <v>174</v>
      </c>
      <c r="N356" s="5" t="s">
        <v>2146</v>
      </c>
      <c r="O356" s="5" t="s">
        <v>2147</v>
      </c>
      <c r="P356" s="5" t="s">
        <v>248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>
        <v>16000</v>
      </c>
      <c r="AB356" s="5">
        <v>3000</v>
      </c>
      <c r="AC356" s="6">
        <v>43110</v>
      </c>
      <c r="AD356" s="5" t="s">
        <v>42</v>
      </c>
      <c r="AE356" s="5" t="s">
        <v>2148</v>
      </c>
      <c r="AF356" s="5">
        <v>0</v>
      </c>
    </row>
    <row r="357" spans="1:32" ht="27.95" x14ac:dyDescent="0.3">
      <c r="A357" s="3">
        <v>351</v>
      </c>
      <c r="B357" s="3" t="str">
        <f>"202000117325"</f>
        <v>202000117325</v>
      </c>
      <c r="C357" s="3" t="str">
        <f>"125970"</f>
        <v>125970</v>
      </c>
      <c r="D357" s="3" t="s">
        <v>2149</v>
      </c>
      <c r="E357" s="3">
        <v>10408066790</v>
      </c>
      <c r="F357" s="3" t="s">
        <v>2150</v>
      </c>
      <c r="G357" s="3" t="s">
        <v>2151</v>
      </c>
      <c r="H357" s="3" t="s">
        <v>187</v>
      </c>
      <c r="I357" s="3" t="s">
        <v>2152</v>
      </c>
      <c r="J357" s="3" t="s">
        <v>2153</v>
      </c>
      <c r="K357" s="3" t="s">
        <v>37</v>
      </c>
      <c r="L357" s="3" t="s">
        <v>2028</v>
      </c>
      <c r="M357" s="3" t="s">
        <v>1530</v>
      </c>
      <c r="N357" s="3" t="s">
        <v>557</v>
      </c>
      <c r="O357" s="3" t="s">
        <v>211</v>
      </c>
      <c r="P357" s="3" t="s">
        <v>94</v>
      </c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>
        <v>19200</v>
      </c>
      <c r="AB357" s="3">
        <v>5000</v>
      </c>
      <c r="AC357" s="4">
        <v>44084</v>
      </c>
      <c r="AD357" s="3" t="s">
        <v>42</v>
      </c>
      <c r="AE357" s="3" t="s">
        <v>2150</v>
      </c>
      <c r="AF357" s="3">
        <v>720</v>
      </c>
    </row>
    <row r="358" spans="1:32" ht="27.95" x14ac:dyDescent="0.3">
      <c r="A358" s="5">
        <v>352</v>
      </c>
      <c r="B358" s="5" t="str">
        <f>"201900203935"</f>
        <v>201900203935</v>
      </c>
      <c r="C358" s="5" t="str">
        <f>"94735"</f>
        <v>94735</v>
      </c>
      <c r="D358" s="5" t="s">
        <v>2154</v>
      </c>
      <c r="E358" s="5">
        <v>20330033313</v>
      </c>
      <c r="F358" s="5" t="s">
        <v>1115</v>
      </c>
      <c r="G358" s="5" t="s">
        <v>2155</v>
      </c>
      <c r="H358" s="5" t="s">
        <v>58</v>
      </c>
      <c r="I358" s="5" t="s">
        <v>1108</v>
      </c>
      <c r="J358" s="5" t="s">
        <v>1109</v>
      </c>
      <c r="K358" s="5" t="s">
        <v>37</v>
      </c>
      <c r="L358" s="5" t="s">
        <v>72</v>
      </c>
      <c r="M358" s="5" t="s">
        <v>161</v>
      </c>
      <c r="N358" s="5" t="s">
        <v>470</v>
      </c>
      <c r="O358" s="5" t="s">
        <v>103</v>
      </c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>
        <v>22000</v>
      </c>
      <c r="AB358" s="5">
        <v>2500</v>
      </c>
      <c r="AC358" s="6">
        <v>43809</v>
      </c>
      <c r="AD358" s="5" t="s">
        <v>42</v>
      </c>
      <c r="AE358" s="5" t="s">
        <v>279</v>
      </c>
      <c r="AF358" s="5">
        <v>0</v>
      </c>
    </row>
    <row r="359" spans="1:32" ht="27.95" x14ac:dyDescent="0.3">
      <c r="A359" s="3">
        <v>353</v>
      </c>
      <c r="B359" s="3" t="str">
        <f>"202000038927"</f>
        <v>202000038927</v>
      </c>
      <c r="C359" s="3" t="str">
        <f>"8245"</f>
        <v>8245</v>
      </c>
      <c r="D359" s="3" t="s">
        <v>2156</v>
      </c>
      <c r="E359" s="3">
        <v>20228985237</v>
      </c>
      <c r="F359" s="3" t="s">
        <v>2157</v>
      </c>
      <c r="G359" s="3" t="s">
        <v>2158</v>
      </c>
      <c r="H359" s="3" t="s">
        <v>89</v>
      </c>
      <c r="I359" s="3" t="s">
        <v>89</v>
      </c>
      <c r="J359" s="3" t="s">
        <v>485</v>
      </c>
      <c r="K359" s="3" t="s">
        <v>37</v>
      </c>
      <c r="L359" s="3" t="s">
        <v>51</v>
      </c>
      <c r="M359" s="3" t="s">
        <v>1239</v>
      </c>
      <c r="N359" s="3" t="s">
        <v>102</v>
      </c>
      <c r="O359" s="3" t="s">
        <v>2159</v>
      </c>
      <c r="P359" s="3" t="s">
        <v>78</v>
      </c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>
        <v>20000</v>
      </c>
      <c r="AB359" s="3">
        <v>3200</v>
      </c>
      <c r="AC359" s="4">
        <v>43894</v>
      </c>
      <c r="AD359" s="3" t="s">
        <v>42</v>
      </c>
      <c r="AE359" s="3" t="s">
        <v>2160</v>
      </c>
      <c r="AF359" s="3">
        <v>0</v>
      </c>
    </row>
    <row r="360" spans="1:32" ht="27.95" x14ac:dyDescent="0.3">
      <c r="A360" s="5">
        <v>354</v>
      </c>
      <c r="B360" s="5" t="str">
        <f>"202000148838"</f>
        <v>202000148838</v>
      </c>
      <c r="C360" s="5" t="str">
        <f>"103866"</f>
        <v>103866</v>
      </c>
      <c r="D360" s="5" t="s">
        <v>2161</v>
      </c>
      <c r="E360" s="5">
        <v>20494554535</v>
      </c>
      <c r="F360" s="5" t="s">
        <v>2162</v>
      </c>
      <c r="G360" s="5" t="s">
        <v>2163</v>
      </c>
      <c r="H360" s="5" t="s">
        <v>2073</v>
      </c>
      <c r="I360" s="5" t="s">
        <v>2164</v>
      </c>
      <c r="J360" s="5" t="s">
        <v>2165</v>
      </c>
      <c r="K360" s="5" t="s">
        <v>37</v>
      </c>
      <c r="L360" s="5" t="s">
        <v>172</v>
      </c>
      <c r="M360" s="5" t="s">
        <v>2166</v>
      </c>
      <c r="N360" s="5" t="s">
        <v>84</v>
      </c>
      <c r="O360" s="5" t="s">
        <v>2167</v>
      </c>
      <c r="P360" s="5" t="s">
        <v>2167</v>
      </c>
      <c r="Q360" s="5" t="s">
        <v>2168</v>
      </c>
      <c r="R360" s="5" t="s">
        <v>2169</v>
      </c>
      <c r="S360" s="5" t="s">
        <v>41</v>
      </c>
      <c r="T360" s="5"/>
      <c r="U360" s="5"/>
      <c r="V360" s="5"/>
      <c r="W360" s="5"/>
      <c r="X360" s="5"/>
      <c r="Y360" s="5"/>
      <c r="Z360" s="5"/>
      <c r="AA360" s="5">
        <v>60000</v>
      </c>
      <c r="AB360" s="5">
        <v>10000</v>
      </c>
      <c r="AC360" s="6">
        <v>44129</v>
      </c>
      <c r="AD360" s="6">
        <v>44450</v>
      </c>
      <c r="AE360" s="5" t="s">
        <v>2170</v>
      </c>
      <c r="AF360" s="5">
        <v>0</v>
      </c>
    </row>
    <row r="361" spans="1:32" ht="27.95" x14ac:dyDescent="0.3">
      <c r="A361" s="3">
        <v>355</v>
      </c>
      <c r="B361" s="3" t="str">
        <f>"201700000157"</f>
        <v>201700000157</v>
      </c>
      <c r="C361" s="3" t="str">
        <f>"63993"</f>
        <v>63993</v>
      </c>
      <c r="D361" s="3" t="s">
        <v>2171</v>
      </c>
      <c r="E361" s="3">
        <v>20449277211</v>
      </c>
      <c r="F361" s="3" t="s">
        <v>2172</v>
      </c>
      <c r="G361" s="3" t="s">
        <v>2173</v>
      </c>
      <c r="H361" s="3" t="s">
        <v>656</v>
      </c>
      <c r="I361" s="3" t="s">
        <v>656</v>
      </c>
      <c r="J361" s="3" t="s">
        <v>657</v>
      </c>
      <c r="K361" s="3" t="s">
        <v>37</v>
      </c>
      <c r="L361" s="3" t="s">
        <v>2174</v>
      </c>
      <c r="M361" s="3" t="s">
        <v>2175</v>
      </c>
      <c r="N361" s="3" t="s">
        <v>63</v>
      </c>
      <c r="O361" s="3" t="s">
        <v>2176</v>
      </c>
      <c r="P361" s="3" t="s">
        <v>2177</v>
      </c>
      <c r="Q361" s="3" t="s">
        <v>94</v>
      </c>
      <c r="R361" s="3"/>
      <c r="S361" s="3"/>
      <c r="T361" s="3"/>
      <c r="U361" s="3"/>
      <c r="V361" s="3"/>
      <c r="W361" s="3"/>
      <c r="X361" s="3"/>
      <c r="Y361" s="3"/>
      <c r="Z361" s="3"/>
      <c r="AA361" s="3">
        <v>19782</v>
      </c>
      <c r="AB361" s="3">
        <v>5000</v>
      </c>
      <c r="AC361" s="4">
        <v>42741</v>
      </c>
      <c r="AD361" s="3" t="s">
        <v>42</v>
      </c>
      <c r="AE361" s="3" t="s">
        <v>2178</v>
      </c>
      <c r="AF361" s="3">
        <v>0</v>
      </c>
    </row>
    <row r="362" spans="1:32" ht="27.95" x14ac:dyDescent="0.3">
      <c r="A362" s="5">
        <v>356</v>
      </c>
      <c r="B362" s="5" t="str">
        <f>"201900194521"</f>
        <v>201900194521</v>
      </c>
      <c r="C362" s="5" t="str">
        <f>"35118"</f>
        <v>35118</v>
      </c>
      <c r="D362" s="5" t="s">
        <v>2179</v>
      </c>
      <c r="E362" s="5">
        <v>20231266993</v>
      </c>
      <c r="F362" s="5" t="s">
        <v>2180</v>
      </c>
      <c r="G362" s="5" t="s">
        <v>2181</v>
      </c>
      <c r="H362" s="5" t="s">
        <v>150</v>
      </c>
      <c r="I362" s="5" t="s">
        <v>150</v>
      </c>
      <c r="J362" s="5" t="s">
        <v>1995</v>
      </c>
      <c r="K362" s="5" t="s">
        <v>37</v>
      </c>
      <c r="L362" s="5" t="s">
        <v>262</v>
      </c>
      <c r="M362" s="5" t="s">
        <v>2182</v>
      </c>
      <c r="N362" s="5" t="s">
        <v>63</v>
      </c>
      <c r="O362" s="5" t="s">
        <v>166</v>
      </c>
      <c r="P362" s="5" t="s">
        <v>166</v>
      </c>
      <c r="Q362" s="5" t="s">
        <v>163</v>
      </c>
      <c r="R362" s="5" t="s">
        <v>232</v>
      </c>
      <c r="S362" s="5" t="s">
        <v>50</v>
      </c>
      <c r="T362" s="5" t="s">
        <v>396</v>
      </c>
      <c r="U362" s="5" t="s">
        <v>94</v>
      </c>
      <c r="V362" s="5"/>
      <c r="W362" s="5"/>
      <c r="X362" s="5"/>
      <c r="Y362" s="5"/>
      <c r="Z362" s="5"/>
      <c r="AA362" s="5">
        <v>68000</v>
      </c>
      <c r="AB362" s="5">
        <v>5000</v>
      </c>
      <c r="AC362" s="6">
        <v>43794</v>
      </c>
      <c r="AD362" s="5" t="s">
        <v>42</v>
      </c>
      <c r="AE362" s="5" t="s">
        <v>2183</v>
      </c>
      <c r="AF362" s="5">
        <v>720</v>
      </c>
    </row>
    <row r="363" spans="1:32" ht="27.95" x14ac:dyDescent="0.3">
      <c r="A363" s="3">
        <v>357</v>
      </c>
      <c r="B363" s="3" t="str">
        <f>"1875655"</f>
        <v>1875655</v>
      </c>
      <c r="C363" s="3" t="str">
        <f>"41317"</f>
        <v>41317</v>
      </c>
      <c r="D363" s="3" t="s">
        <v>2184</v>
      </c>
      <c r="E363" s="3">
        <v>20511193045</v>
      </c>
      <c r="F363" s="3" t="s">
        <v>536</v>
      </c>
      <c r="G363" s="3" t="s">
        <v>2185</v>
      </c>
      <c r="H363" s="3" t="s">
        <v>47</v>
      </c>
      <c r="I363" s="3" t="s">
        <v>290</v>
      </c>
      <c r="J363" s="3" t="s">
        <v>2186</v>
      </c>
      <c r="K363" s="3" t="s">
        <v>37</v>
      </c>
      <c r="L363" s="3" t="s">
        <v>2187</v>
      </c>
      <c r="M363" s="3" t="s">
        <v>2188</v>
      </c>
      <c r="N363" s="3" t="s">
        <v>2189</v>
      </c>
      <c r="O363" s="3" t="s">
        <v>2190</v>
      </c>
      <c r="P363" s="3" t="s">
        <v>381</v>
      </c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>
        <v>37088</v>
      </c>
      <c r="AB363" s="3">
        <v>2000</v>
      </c>
      <c r="AC363" s="4">
        <v>39909</v>
      </c>
      <c r="AD363" s="3" t="s">
        <v>42</v>
      </c>
      <c r="AE363" s="3" t="s">
        <v>541</v>
      </c>
      <c r="AF363" s="3">
        <v>0</v>
      </c>
    </row>
    <row r="364" spans="1:32" ht="27.95" x14ac:dyDescent="0.3">
      <c r="A364" s="5">
        <v>358</v>
      </c>
      <c r="B364" s="5" t="str">
        <f>"201900048948"</f>
        <v>201900048948</v>
      </c>
      <c r="C364" s="5" t="str">
        <f>"37714"</f>
        <v>37714</v>
      </c>
      <c r="D364" s="5" t="s">
        <v>2191</v>
      </c>
      <c r="E364" s="5">
        <v>20548469679</v>
      </c>
      <c r="F364" s="5" t="s">
        <v>2192</v>
      </c>
      <c r="G364" s="5" t="s">
        <v>2193</v>
      </c>
      <c r="H364" s="5" t="s">
        <v>47</v>
      </c>
      <c r="I364" s="5" t="s">
        <v>47</v>
      </c>
      <c r="J364" s="5" t="s">
        <v>48</v>
      </c>
      <c r="K364" s="5" t="s">
        <v>37</v>
      </c>
      <c r="L364" s="5" t="s">
        <v>72</v>
      </c>
      <c r="M364" s="5" t="s">
        <v>2194</v>
      </c>
      <c r="N364" s="5" t="s">
        <v>297</v>
      </c>
      <c r="O364" s="5" t="s">
        <v>154</v>
      </c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>
        <v>18000</v>
      </c>
      <c r="AB364" s="5">
        <v>6000</v>
      </c>
      <c r="AC364" s="6">
        <v>43550</v>
      </c>
      <c r="AD364" s="5" t="s">
        <v>42</v>
      </c>
      <c r="AE364" s="5" t="s">
        <v>2195</v>
      </c>
      <c r="AF364" s="5">
        <v>0</v>
      </c>
    </row>
    <row r="365" spans="1:32" ht="27.95" x14ac:dyDescent="0.3">
      <c r="A365" s="3">
        <v>359</v>
      </c>
      <c r="B365" s="3" t="str">
        <f>"201800026724"</f>
        <v>201800026724</v>
      </c>
      <c r="C365" s="3" t="str">
        <f>"84187"</f>
        <v>84187</v>
      </c>
      <c r="D365" s="3" t="s">
        <v>2196</v>
      </c>
      <c r="E365" s="3">
        <v>20480681461</v>
      </c>
      <c r="F365" s="3" t="s">
        <v>2197</v>
      </c>
      <c r="G365" s="3" t="s">
        <v>2198</v>
      </c>
      <c r="H365" s="3" t="s">
        <v>36</v>
      </c>
      <c r="I365" s="3" t="s">
        <v>409</v>
      </c>
      <c r="J365" s="3" t="s">
        <v>2199</v>
      </c>
      <c r="K365" s="3" t="s">
        <v>37</v>
      </c>
      <c r="L365" s="3" t="s">
        <v>2174</v>
      </c>
      <c r="M365" s="3" t="s">
        <v>367</v>
      </c>
      <c r="N365" s="3" t="s">
        <v>2200</v>
      </c>
      <c r="O365" s="3" t="s">
        <v>102</v>
      </c>
      <c r="P365" s="3" t="s">
        <v>154</v>
      </c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>
        <v>9400</v>
      </c>
      <c r="AB365" s="3">
        <v>6000</v>
      </c>
      <c r="AC365" s="4">
        <v>43161</v>
      </c>
      <c r="AD365" s="3" t="s">
        <v>42</v>
      </c>
      <c r="AE365" s="3" t="s">
        <v>2201</v>
      </c>
      <c r="AF365" s="3">
        <v>720</v>
      </c>
    </row>
    <row r="366" spans="1:32" ht="41.95" x14ac:dyDescent="0.3">
      <c r="A366" s="5">
        <v>360</v>
      </c>
      <c r="B366" s="5" t="str">
        <f>"201800171477"</f>
        <v>201800171477</v>
      </c>
      <c r="C366" s="5" t="str">
        <f>"107025"</f>
        <v>107025</v>
      </c>
      <c r="D366" s="5" t="s">
        <v>2202</v>
      </c>
      <c r="E366" s="5">
        <v>20502794052</v>
      </c>
      <c r="F366" s="5" t="s">
        <v>2139</v>
      </c>
      <c r="G366" s="5" t="s">
        <v>2203</v>
      </c>
      <c r="H366" s="5" t="s">
        <v>219</v>
      </c>
      <c r="I366" s="5" t="s">
        <v>220</v>
      </c>
      <c r="J366" s="5" t="s">
        <v>220</v>
      </c>
      <c r="K366" s="5" t="s">
        <v>37</v>
      </c>
      <c r="L366" s="5" t="s">
        <v>2204</v>
      </c>
      <c r="M366" s="5" t="s">
        <v>381</v>
      </c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>
        <v>6697</v>
      </c>
      <c r="AB366" s="5">
        <v>2000</v>
      </c>
      <c r="AC366" s="6">
        <v>43390</v>
      </c>
      <c r="AD366" s="5" t="s">
        <v>42</v>
      </c>
      <c r="AE366" s="5" t="s">
        <v>2205</v>
      </c>
      <c r="AF366" s="5">
        <v>0</v>
      </c>
    </row>
    <row r="367" spans="1:32" ht="27.95" x14ac:dyDescent="0.3">
      <c r="A367" s="3">
        <v>361</v>
      </c>
      <c r="B367" s="3" t="str">
        <f>"202000150960"</f>
        <v>202000150960</v>
      </c>
      <c r="C367" s="3" t="str">
        <f>"102353"</f>
        <v>102353</v>
      </c>
      <c r="D367" s="3" t="s">
        <v>2206</v>
      </c>
      <c r="E367" s="3">
        <v>20568161948</v>
      </c>
      <c r="F367" s="3" t="s">
        <v>2207</v>
      </c>
      <c r="G367" s="3" t="s">
        <v>2208</v>
      </c>
      <c r="H367" s="3" t="s">
        <v>108</v>
      </c>
      <c r="I367" s="3" t="s">
        <v>647</v>
      </c>
      <c r="J367" s="3" t="s">
        <v>1117</v>
      </c>
      <c r="K367" s="3" t="s">
        <v>37</v>
      </c>
      <c r="L367" s="3" t="s">
        <v>2209</v>
      </c>
      <c r="M367" s="3" t="s">
        <v>166</v>
      </c>
      <c r="N367" s="3" t="s">
        <v>94</v>
      </c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>
        <v>20198</v>
      </c>
      <c r="AB367" s="3">
        <v>5000</v>
      </c>
      <c r="AC367" s="4">
        <v>44130</v>
      </c>
      <c r="AD367" s="3" t="s">
        <v>42</v>
      </c>
      <c r="AE367" s="3" t="s">
        <v>2210</v>
      </c>
      <c r="AF367" s="3">
        <v>0</v>
      </c>
    </row>
    <row r="368" spans="1:32" ht="27.95" x14ac:dyDescent="0.3">
      <c r="A368" s="5">
        <v>362</v>
      </c>
      <c r="B368" s="5" t="str">
        <f>"201900191257"</f>
        <v>201900191257</v>
      </c>
      <c r="C368" s="5" t="str">
        <f>"147872"</f>
        <v>147872</v>
      </c>
      <c r="D368" s="5" t="s">
        <v>2211</v>
      </c>
      <c r="E368" s="5">
        <v>20175642341</v>
      </c>
      <c r="F368" s="5" t="s">
        <v>2212</v>
      </c>
      <c r="G368" s="5" t="s">
        <v>2213</v>
      </c>
      <c r="H368" s="5" t="s">
        <v>219</v>
      </c>
      <c r="I368" s="5" t="s">
        <v>220</v>
      </c>
      <c r="J368" s="5" t="s">
        <v>302</v>
      </c>
      <c r="K368" s="5" t="s">
        <v>37</v>
      </c>
      <c r="L368" s="5" t="s">
        <v>166</v>
      </c>
      <c r="M368" s="5" t="s">
        <v>166</v>
      </c>
      <c r="N368" s="5" t="s">
        <v>1078</v>
      </c>
      <c r="O368" s="5" t="s">
        <v>2214</v>
      </c>
      <c r="P368" s="5" t="s">
        <v>94</v>
      </c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40000</v>
      </c>
      <c r="AB368" s="5">
        <v>5000</v>
      </c>
      <c r="AC368" s="6">
        <v>43808</v>
      </c>
      <c r="AD368" s="5" t="s">
        <v>42</v>
      </c>
      <c r="AE368" s="5" t="s">
        <v>2215</v>
      </c>
      <c r="AF368" s="5">
        <v>0</v>
      </c>
    </row>
    <row r="369" spans="1:32" x14ac:dyDescent="0.3">
      <c r="A369" s="3">
        <v>363</v>
      </c>
      <c r="B369" s="3" t="str">
        <f>"201700163344"</f>
        <v>201700163344</v>
      </c>
      <c r="C369" s="3" t="str">
        <f>"18565"</f>
        <v>18565</v>
      </c>
      <c r="D369" s="3" t="s">
        <v>2216</v>
      </c>
      <c r="E369" s="3">
        <v>20176074567</v>
      </c>
      <c r="F369" s="3" t="s">
        <v>2217</v>
      </c>
      <c r="G369" s="3" t="s">
        <v>2218</v>
      </c>
      <c r="H369" s="3" t="s">
        <v>656</v>
      </c>
      <c r="I369" s="3" t="s">
        <v>656</v>
      </c>
      <c r="J369" s="3" t="s">
        <v>656</v>
      </c>
      <c r="K369" s="3" t="s">
        <v>37</v>
      </c>
      <c r="L369" s="3" t="s">
        <v>174</v>
      </c>
      <c r="M369" s="3" t="s">
        <v>285</v>
      </c>
      <c r="N369" s="3" t="s">
        <v>63</v>
      </c>
      <c r="O369" s="3" t="s">
        <v>211</v>
      </c>
      <c r="P369" s="3" t="s">
        <v>94</v>
      </c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>
        <v>17500</v>
      </c>
      <c r="AB369" s="3">
        <v>5000</v>
      </c>
      <c r="AC369" s="4">
        <v>43016</v>
      </c>
      <c r="AD369" s="3" t="s">
        <v>42</v>
      </c>
      <c r="AE369" s="3" t="s">
        <v>2219</v>
      </c>
      <c r="AF369" s="3">
        <v>0</v>
      </c>
    </row>
    <row r="370" spans="1:32" ht="27.95" x14ac:dyDescent="0.3">
      <c r="A370" s="5">
        <v>364</v>
      </c>
      <c r="B370" s="5" t="str">
        <f>"201400120931"</f>
        <v>201400120931</v>
      </c>
      <c r="C370" s="5" t="str">
        <f>"16706"</f>
        <v>16706</v>
      </c>
      <c r="D370" s="5" t="s">
        <v>2220</v>
      </c>
      <c r="E370" s="5">
        <v>20521411172</v>
      </c>
      <c r="F370" s="5" t="s">
        <v>2221</v>
      </c>
      <c r="G370" s="5" t="s">
        <v>2222</v>
      </c>
      <c r="H370" s="5" t="s">
        <v>58</v>
      </c>
      <c r="I370" s="5" t="s">
        <v>58</v>
      </c>
      <c r="J370" s="5" t="s">
        <v>99</v>
      </c>
      <c r="K370" s="5" t="s">
        <v>37</v>
      </c>
      <c r="L370" s="5" t="s">
        <v>2223</v>
      </c>
      <c r="M370" s="5" t="s">
        <v>2224</v>
      </c>
      <c r="N370" s="5" t="s">
        <v>2225</v>
      </c>
      <c r="O370" s="5" t="s">
        <v>74</v>
      </c>
      <c r="P370" s="5" t="s">
        <v>103</v>
      </c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>
        <v>9000</v>
      </c>
      <c r="AB370" s="5">
        <v>2500</v>
      </c>
      <c r="AC370" s="6">
        <v>41921</v>
      </c>
      <c r="AD370" s="5" t="s">
        <v>42</v>
      </c>
      <c r="AE370" s="5" t="s">
        <v>2226</v>
      </c>
      <c r="AF370" s="5">
        <v>0</v>
      </c>
    </row>
    <row r="371" spans="1:32" x14ac:dyDescent="0.3">
      <c r="A371" s="3">
        <v>365</v>
      </c>
      <c r="B371" s="3" t="str">
        <f>"201900202174"</f>
        <v>201900202174</v>
      </c>
      <c r="C371" s="3" t="str">
        <f>"6866"</f>
        <v>6866</v>
      </c>
      <c r="D371" s="3" t="s">
        <v>2227</v>
      </c>
      <c r="E371" s="3">
        <v>20550987784</v>
      </c>
      <c r="F371" s="3" t="s">
        <v>2228</v>
      </c>
      <c r="G371" s="3" t="s">
        <v>2229</v>
      </c>
      <c r="H371" s="3" t="s">
        <v>47</v>
      </c>
      <c r="I371" s="3" t="s">
        <v>290</v>
      </c>
      <c r="J371" s="3" t="s">
        <v>2230</v>
      </c>
      <c r="K371" s="3" t="s">
        <v>37</v>
      </c>
      <c r="L371" s="3" t="s">
        <v>1278</v>
      </c>
      <c r="M371" s="3" t="s">
        <v>263</v>
      </c>
      <c r="N371" s="3" t="s">
        <v>2231</v>
      </c>
      <c r="O371" s="3" t="s">
        <v>63</v>
      </c>
      <c r="P371" s="3" t="s">
        <v>102</v>
      </c>
      <c r="Q371" s="3" t="s">
        <v>94</v>
      </c>
      <c r="R371" s="3"/>
      <c r="S371" s="3"/>
      <c r="T371" s="3"/>
      <c r="U371" s="3"/>
      <c r="V371" s="3"/>
      <c r="W371" s="3"/>
      <c r="X371" s="3"/>
      <c r="Y371" s="3"/>
      <c r="Z371" s="3"/>
      <c r="AA371" s="3">
        <v>25750</v>
      </c>
      <c r="AB371" s="3">
        <v>5000</v>
      </c>
      <c r="AC371" s="4">
        <v>43809</v>
      </c>
      <c r="AD371" s="3" t="s">
        <v>42</v>
      </c>
      <c r="AE371" s="3" t="s">
        <v>2232</v>
      </c>
      <c r="AF371" s="3">
        <v>0</v>
      </c>
    </row>
    <row r="372" spans="1:32" ht="27.95" x14ac:dyDescent="0.3">
      <c r="A372" s="5">
        <v>366</v>
      </c>
      <c r="B372" s="5" t="str">
        <f>"201900145113"</f>
        <v>201900145113</v>
      </c>
      <c r="C372" s="5" t="str">
        <f>"140708"</f>
        <v>140708</v>
      </c>
      <c r="D372" s="5" t="s">
        <v>2233</v>
      </c>
      <c r="E372" s="5">
        <v>20604894426</v>
      </c>
      <c r="F372" s="5" t="s">
        <v>2234</v>
      </c>
      <c r="G372" s="5" t="s">
        <v>2235</v>
      </c>
      <c r="H372" s="5" t="s">
        <v>108</v>
      </c>
      <c r="I372" s="5" t="s">
        <v>598</v>
      </c>
      <c r="J372" s="5" t="s">
        <v>618</v>
      </c>
      <c r="K372" s="5" t="s">
        <v>37</v>
      </c>
      <c r="L372" s="5" t="s">
        <v>2236</v>
      </c>
      <c r="M372" s="5" t="s">
        <v>2237</v>
      </c>
      <c r="N372" s="5" t="s">
        <v>94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>
        <v>20000</v>
      </c>
      <c r="AB372" s="5">
        <v>5000</v>
      </c>
      <c r="AC372" s="6">
        <v>43719</v>
      </c>
      <c r="AD372" s="5" t="s">
        <v>42</v>
      </c>
      <c r="AE372" s="5" t="s">
        <v>2238</v>
      </c>
      <c r="AF372" s="5">
        <v>0</v>
      </c>
    </row>
    <row r="373" spans="1:32" x14ac:dyDescent="0.3">
      <c r="A373" s="3">
        <v>367</v>
      </c>
      <c r="B373" s="3" t="str">
        <f>"201500143182"</f>
        <v>201500143182</v>
      </c>
      <c r="C373" s="3" t="str">
        <f>"21384"</f>
        <v>21384</v>
      </c>
      <c r="D373" s="3" t="s">
        <v>2239</v>
      </c>
      <c r="E373" s="3">
        <v>20486135272</v>
      </c>
      <c r="F373" s="3" t="s">
        <v>2240</v>
      </c>
      <c r="G373" s="3" t="s">
        <v>2241</v>
      </c>
      <c r="H373" s="3" t="s">
        <v>108</v>
      </c>
      <c r="I373" s="3" t="s">
        <v>647</v>
      </c>
      <c r="J373" s="3" t="s">
        <v>891</v>
      </c>
      <c r="K373" s="3" t="s">
        <v>37</v>
      </c>
      <c r="L373" s="3" t="s">
        <v>2242</v>
      </c>
      <c r="M373" s="3" t="s">
        <v>1530</v>
      </c>
      <c r="N373" s="3" t="s">
        <v>1387</v>
      </c>
      <c r="O373" s="3" t="s">
        <v>2243</v>
      </c>
      <c r="P373" s="3" t="s">
        <v>2060</v>
      </c>
      <c r="Q373" s="3" t="s">
        <v>94</v>
      </c>
      <c r="R373" s="3"/>
      <c r="S373" s="3"/>
      <c r="T373" s="3"/>
      <c r="U373" s="3"/>
      <c r="V373" s="3"/>
      <c r="W373" s="3"/>
      <c r="X373" s="3"/>
      <c r="Y373" s="3"/>
      <c r="Z373" s="3"/>
      <c r="AA373" s="3">
        <v>32600</v>
      </c>
      <c r="AB373" s="3">
        <v>5000</v>
      </c>
      <c r="AC373" s="4">
        <v>42303</v>
      </c>
      <c r="AD373" s="3" t="s">
        <v>42</v>
      </c>
      <c r="AE373" s="3" t="s">
        <v>2244</v>
      </c>
      <c r="AF373" s="3">
        <v>720</v>
      </c>
    </row>
    <row r="374" spans="1:32" ht="27.95" x14ac:dyDescent="0.3">
      <c r="A374" s="5">
        <v>368</v>
      </c>
      <c r="B374" s="5" t="str">
        <f>"202000105616"</f>
        <v>202000105616</v>
      </c>
      <c r="C374" s="5" t="str">
        <f>"15224"</f>
        <v>15224</v>
      </c>
      <c r="D374" s="5" t="s">
        <v>2245</v>
      </c>
      <c r="E374" s="5">
        <v>20541458451</v>
      </c>
      <c r="F374" s="5" t="s">
        <v>2246</v>
      </c>
      <c r="G374" s="5" t="s">
        <v>2247</v>
      </c>
      <c r="H374" s="5" t="s">
        <v>108</v>
      </c>
      <c r="I374" s="5" t="s">
        <v>598</v>
      </c>
      <c r="J374" s="5" t="s">
        <v>1750</v>
      </c>
      <c r="K374" s="5" t="s">
        <v>37</v>
      </c>
      <c r="L374" s="5" t="s">
        <v>61</v>
      </c>
      <c r="M374" s="5" t="s">
        <v>73</v>
      </c>
      <c r="N374" s="5" t="s">
        <v>72</v>
      </c>
      <c r="O374" s="5" t="s">
        <v>1111</v>
      </c>
      <c r="P374" s="5" t="s">
        <v>94</v>
      </c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>
        <v>27000</v>
      </c>
      <c r="AB374" s="5">
        <v>5000</v>
      </c>
      <c r="AC374" s="6">
        <v>44061</v>
      </c>
      <c r="AD374" s="6">
        <v>44426</v>
      </c>
      <c r="AE374" s="5" t="s">
        <v>2248</v>
      </c>
      <c r="AF374" s="5">
        <v>0</v>
      </c>
    </row>
    <row r="375" spans="1:32" x14ac:dyDescent="0.3">
      <c r="A375" s="3">
        <v>369</v>
      </c>
      <c r="B375" s="3" t="str">
        <f>"201700111045"</f>
        <v>201700111045</v>
      </c>
      <c r="C375" s="3" t="str">
        <f>"6996"</f>
        <v>6996</v>
      </c>
      <c r="D375" s="3" t="s">
        <v>2249</v>
      </c>
      <c r="E375" s="3">
        <v>20101313833</v>
      </c>
      <c r="F375" s="3" t="s">
        <v>2250</v>
      </c>
      <c r="G375" s="3" t="s">
        <v>2251</v>
      </c>
      <c r="H375" s="3" t="s">
        <v>58</v>
      </c>
      <c r="I375" s="3" t="s">
        <v>58</v>
      </c>
      <c r="J375" s="3" t="s">
        <v>753</v>
      </c>
      <c r="K375" s="3" t="s">
        <v>37</v>
      </c>
      <c r="L375" s="3" t="s">
        <v>2252</v>
      </c>
      <c r="M375" s="3" t="s">
        <v>2252</v>
      </c>
      <c r="N375" s="3" t="s">
        <v>2253</v>
      </c>
      <c r="O375" s="3" t="s">
        <v>2253</v>
      </c>
      <c r="P375" s="3" t="s">
        <v>2254</v>
      </c>
      <c r="Q375" s="3" t="s">
        <v>2255</v>
      </c>
      <c r="R375" s="3" t="s">
        <v>2256</v>
      </c>
      <c r="S375" s="3" t="s">
        <v>78</v>
      </c>
      <c r="T375" s="3"/>
      <c r="U375" s="3"/>
      <c r="V375" s="3"/>
      <c r="W375" s="3"/>
      <c r="X375" s="3"/>
      <c r="Y375" s="3"/>
      <c r="Z375" s="3"/>
      <c r="AA375" s="3">
        <v>39400</v>
      </c>
      <c r="AB375" s="3">
        <v>3200</v>
      </c>
      <c r="AC375" s="4">
        <v>42933</v>
      </c>
      <c r="AD375" s="3" t="s">
        <v>42</v>
      </c>
      <c r="AE375" s="3" t="s">
        <v>2257</v>
      </c>
      <c r="AF375" s="3">
        <v>120</v>
      </c>
    </row>
    <row r="376" spans="1:32" ht="27.95" x14ac:dyDescent="0.3">
      <c r="A376" s="5">
        <v>370</v>
      </c>
      <c r="B376" s="5" t="str">
        <f>"201700058939"</f>
        <v>201700058939</v>
      </c>
      <c r="C376" s="5" t="str">
        <f>"34604"</f>
        <v>34604</v>
      </c>
      <c r="D376" s="5" t="s">
        <v>2258</v>
      </c>
      <c r="E376" s="5">
        <v>20510917449</v>
      </c>
      <c r="F376" s="5" t="s">
        <v>2259</v>
      </c>
      <c r="G376" s="5" t="s">
        <v>2260</v>
      </c>
      <c r="H376" s="5" t="s">
        <v>108</v>
      </c>
      <c r="I376" s="5" t="s">
        <v>852</v>
      </c>
      <c r="J376" s="5" t="s">
        <v>1411</v>
      </c>
      <c r="K376" s="5" t="s">
        <v>37</v>
      </c>
      <c r="L376" s="5" t="s">
        <v>76</v>
      </c>
      <c r="M376" s="5" t="s">
        <v>101</v>
      </c>
      <c r="N376" s="5" t="s">
        <v>102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>
        <v>12000</v>
      </c>
      <c r="AB376" s="5">
        <v>3300</v>
      </c>
      <c r="AC376" s="6">
        <v>42852</v>
      </c>
      <c r="AD376" s="5" t="s">
        <v>42</v>
      </c>
      <c r="AE376" s="5" t="s">
        <v>2261</v>
      </c>
      <c r="AF376" s="5">
        <v>240</v>
      </c>
    </row>
    <row r="377" spans="1:32" x14ac:dyDescent="0.3">
      <c r="A377" s="3">
        <v>371</v>
      </c>
      <c r="B377" s="3" t="str">
        <f>"201500085831"</f>
        <v>201500085831</v>
      </c>
      <c r="C377" s="3" t="str">
        <f>"16608"</f>
        <v>16608</v>
      </c>
      <c r="D377" s="3" t="s">
        <v>2262</v>
      </c>
      <c r="E377" s="3">
        <v>20521411172</v>
      </c>
      <c r="F377" s="3" t="s">
        <v>2221</v>
      </c>
      <c r="G377" s="3" t="s">
        <v>2263</v>
      </c>
      <c r="H377" s="3" t="s">
        <v>58</v>
      </c>
      <c r="I377" s="3" t="s">
        <v>58</v>
      </c>
      <c r="J377" s="3" t="s">
        <v>71</v>
      </c>
      <c r="K377" s="3" t="s">
        <v>37</v>
      </c>
      <c r="L377" s="3" t="s">
        <v>72</v>
      </c>
      <c r="M377" s="3" t="s">
        <v>2264</v>
      </c>
      <c r="N377" s="3" t="s">
        <v>72</v>
      </c>
      <c r="O377" s="3" t="s">
        <v>2265</v>
      </c>
      <c r="P377" s="3" t="s">
        <v>172</v>
      </c>
      <c r="Q377" s="3" t="s">
        <v>263</v>
      </c>
      <c r="R377" s="3" t="s">
        <v>103</v>
      </c>
      <c r="S377" s="3"/>
      <c r="T377" s="3"/>
      <c r="U377" s="3"/>
      <c r="V377" s="3"/>
      <c r="W377" s="3"/>
      <c r="X377" s="3"/>
      <c r="Y377" s="3"/>
      <c r="Z377" s="3"/>
      <c r="AA377" s="3">
        <v>38000</v>
      </c>
      <c r="AB377" s="3">
        <v>2500</v>
      </c>
      <c r="AC377" s="4">
        <v>42194</v>
      </c>
      <c r="AD377" s="3" t="s">
        <v>42</v>
      </c>
      <c r="AE377" s="3" t="s">
        <v>2226</v>
      </c>
      <c r="AF377" s="3">
        <v>0</v>
      </c>
    </row>
    <row r="378" spans="1:32" x14ac:dyDescent="0.3">
      <c r="A378" s="5">
        <v>372</v>
      </c>
      <c r="B378" s="5" t="str">
        <f>"202000120281"</f>
        <v>202000120281</v>
      </c>
      <c r="C378" s="5" t="str">
        <f>"38324"</f>
        <v>38324</v>
      </c>
      <c r="D378" s="5" t="s">
        <v>2266</v>
      </c>
      <c r="E378" s="5">
        <v>20452499216</v>
      </c>
      <c r="F378" s="5" t="s">
        <v>2267</v>
      </c>
      <c r="G378" s="5" t="s">
        <v>2268</v>
      </c>
      <c r="H378" s="5" t="s">
        <v>2073</v>
      </c>
      <c r="I378" s="5" t="s">
        <v>2164</v>
      </c>
      <c r="J378" s="5" t="s">
        <v>2269</v>
      </c>
      <c r="K378" s="5" t="s">
        <v>37</v>
      </c>
      <c r="L378" s="5" t="s">
        <v>2270</v>
      </c>
      <c r="M378" s="5" t="s">
        <v>2271</v>
      </c>
      <c r="N378" s="5" t="s">
        <v>62</v>
      </c>
      <c r="O378" s="5" t="s">
        <v>1072</v>
      </c>
      <c r="P378" s="5" t="s">
        <v>2272</v>
      </c>
      <c r="Q378" s="5" t="s">
        <v>387</v>
      </c>
      <c r="R378" s="5" t="s">
        <v>94</v>
      </c>
      <c r="S378" s="5" t="s">
        <v>94</v>
      </c>
      <c r="T378" s="5"/>
      <c r="U378" s="5"/>
      <c r="V378" s="5"/>
      <c r="W378" s="5"/>
      <c r="X378" s="5"/>
      <c r="Y378" s="5"/>
      <c r="Z378" s="5"/>
      <c r="AA378" s="5">
        <v>32000</v>
      </c>
      <c r="AB378" s="5">
        <v>10000</v>
      </c>
      <c r="AC378" s="6">
        <v>44088</v>
      </c>
      <c r="AD378" s="6">
        <v>44453</v>
      </c>
      <c r="AE378" s="5" t="s">
        <v>2273</v>
      </c>
      <c r="AF378" s="5">
        <v>720</v>
      </c>
    </row>
    <row r="379" spans="1:32" ht="27.95" x14ac:dyDescent="0.3">
      <c r="A379" s="3">
        <v>373</v>
      </c>
      <c r="B379" s="3" t="str">
        <f>"202000119342"</f>
        <v>202000119342</v>
      </c>
      <c r="C379" s="3" t="str">
        <f>"17885"</f>
        <v>17885</v>
      </c>
      <c r="D379" s="3" t="s">
        <v>2274</v>
      </c>
      <c r="E379" s="3">
        <v>20600722752</v>
      </c>
      <c r="F379" s="3" t="s">
        <v>2275</v>
      </c>
      <c r="G379" s="3" t="s">
        <v>2276</v>
      </c>
      <c r="H379" s="3" t="s">
        <v>116</v>
      </c>
      <c r="I379" s="3" t="s">
        <v>339</v>
      </c>
      <c r="J379" s="3" t="s">
        <v>612</v>
      </c>
      <c r="K379" s="3" t="s">
        <v>37</v>
      </c>
      <c r="L379" s="3" t="s">
        <v>2277</v>
      </c>
      <c r="M379" s="3" t="s">
        <v>174</v>
      </c>
      <c r="N379" s="3" t="s">
        <v>2278</v>
      </c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>
        <v>17000</v>
      </c>
      <c r="AB379" s="3">
        <v>3500</v>
      </c>
      <c r="AC379" s="4">
        <v>44088</v>
      </c>
      <c r="AD379" s="3" t="s">
        <v>42</v>
      </c>
      <c r="AE379" s="3" t="s">
        <v>2279</v>
      </c>
      <c r="AF379" s="3">
        <v>0</v>
      </c>
    </row>
    <row r="380" spans="1:32" ht="41.95" x14ac:dyDescent="0.3">
      <c r="A380" s="5">
        <v>374</v>
      </c>
      <c r="B380" s="5" t="str">
        <f>"201900016496"</f>
        <v>201900016496</v>
      </c>
      <c r="C380" s="5" t="str">
        <f>"14569"</f>
        <v>14569</v>
      </c>
      <c r="D380" s="5" t="s">
        <v>2280</v>
      </c>
      <c r="E380" s="5">
        <v>20127765279</v>
      </c>
      <c r="F380" s="5" t="s">
        <v>1115</v>
      </c>
      <c r="G380" s="5" t="s">
        <v>2281</v>
      </c>
      <c r="H380" s="5" t="s">
        <v>58</v>
      </c>
      <c r="I380" s="5" t="s">
        <v>554</v>
      </c>
      <c r="J380" s="5" t="s">
        <v>554</v>
      </c>
      <c r="K380" s="5" t="s">
        <v>37</v>
      </c>
      <c r="L380" s="5" t="s">
        <v>166</v>
      </c>
      <c r="M380" s="5" t="s">
        <v>743</v>
      </c>
      <c r="N380" s="5" t="s">
        <v>51</v>
      </c>
      <c r="O380" s="5" t="s">
        <v>50</v>
      </c>
      <c r="P380" s="5" t="s">
        <v>2282</v>
      </c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>
        <v>25000</v>
      </c>
      <c r="AB380" s="5">
        <v>8000</v>
      </c>
      <c r="AC380" s="6">
        <v>43497</v>
      </c>
      <c r="AD380" s="5" t="s">
        <v>42</v>
      </c>
      <c r="AE380" s="5" t="s">
        <v>279</v>
      </c>
      <c r="AF380" s="5">
        <v>720</v>
      </c>
    </row>
    <row r="381" spans="1:32" ht="27.95" x14ac:dyDescent="0.3">
      <c r="A381" s="3">
        <v>375</v>
      </c>
      <c r="B381" s="3" t="str">
        <f>"202000055709"</f>
        <v>202000055709</v>
      </c>
      <c r="C381" s="3" t="str">
        <f>"18417"</f>
        <v>18417</v>
      </c>
      <c r="D381" s="3" t="s">
        <v>2283</v>
      </c>
      <c r="E381" s="3">
        <v>20601255724</v>
      </c>
      <c r="F381" s="3" t="s">
        <v>2284</v>
      </c>
      <c r="G381" s="3" t="s">
        <v>2285</v>
      </c>
      <c r="H381" s="3" t="s">
        <v>187</v>
      </c>
      <c r="I381" s="3" t="s">
        <v>187</v>
      </c>
      <c r="J381" s="3" t="s">
        <v>769</v>
      </c>
      <c r="K381" s="3" t="s">
        <v>37</v>
      </c>
      <c r="L381" s="3" t="s">
        <v>2286</v>
      </c>
      <c r="M381" s="3" t="s">
        <v>825</v>
      </c>
      <c r="N381" s="3" t="s">
        <v>110</v>
      </c>
      <c r="O381" s="3" t="s">
        <v>166</v>
      </c>
      <c r="P381" s="3" t="s">
        <v>2282</v>
      </c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>
        <v>21900</v>
      </c>
      <c r="AB381" s="3">
        <v>8000</v>
      </c>
      <c r="AC381" s="4">
        <v>43962</v>
      </c>
      <c r="AD381" s="3" t="s">
        <v>42</v>
      </c>
      <c r="AE381" s="3" t="s">
        <v>2287</v>
      </c>
      <c r="AF381" s="3">
        <v>0</v>
      </c>
    </row>
    <row r="382" spans="1:32" x14ac:dyDescent="0.3">
      <c r="A382" s="5">
        <v>376</v>
      </c>
      <c r="B382" s="5" t="str">
        <f>"201800070425"</f>
        <v>201800070425</v>
      </c>
      <c r="C382" s="5" t="str">
        <f>"9602"</f>
        <v>9602</v>
      </c>
      <c r="D382" s="5" t="s">
        <v>2288</v>
      </c>
      <c r="E382" s="5">
        <v>20602551050</v>
      </c>
      <c r="F382" s="5" t="s">
        <v>2289</v>
      </c>
      <c r="G382" s="5" t="s">
        <v>2290</v>
      </c>
      <c r="H382" s="5" t="s">
        <v>116</v>
      </c>
      <c r="I382" s="5" t="s">
        <v>339</v>
      </c>
      <c r="J382" s="5" t="s">
        <v>340</v>
      </c>
      <c r="K382" s="5" t="s">
        <v>37</v>
      </c>
      <c r="L382" s="5" t="s">
        <v>63</v>
      </c>
      <c r="M382" s="5" t="s">
        <v>63</v>
      </c>
      <c r="N382" s="5" t="s">
        <v>172</v>
      </c>
      <c r="O382" s="5" t="s">
        <v>1278</v>
      </c>
      <c r="P382" s="5" t="s">
        <v>174</v>
      </c>
      <c r="Q382" s="5" t="s">
        <v>171</v>
      </c>
      <c r="R382" s="5" t="s">
        <v>120</v>
      </c>
      <c r="S382" s="5"/>
      <c r="T382" s="5"/>
      <c r="U382" s="5"/>
      <c r="V382" s="5"/>
      <c r="W382" s="5"/>
      <c r="X382" s="5"/>
      <c r="Y382" s="5"/>
      <c r="Z382" s="5"/>
      <c r="AA382" s="5">
        <v>38000</v>
      </c>
      <c r="AB382" s="5">
        <v>3500</v>
      </c>
      <c r="AC382" s="6">
        <v>43220</v>
      </c>
      <c r="AD382" s="5" t="s">
        <v>42</v>
      </c>
      <c r="AE382" s="5" t="s">
        <v>2291</v>
      </c>
      <c r="AF382" s="5">
        <v>0</v>
      </c>
    </row>
    <row r="383" spans="1:32" ht="27.95" x14ac:dyDescent="0.3">
      <c r="A383" s="3">
        <v>377</v>
      </c>
      <c r="B383" s="3" t="str">
        <f>"201900129780"</f>
        <v>201900129780</v>
      </c>
      <c r="C383" s="3" t="str">
        <f>"145865"</f>
        <v>145865</v>
      </c>
      <c r="D383" s="3" t="s">
        <v>2292</v>
      </c>
      <c r="E383" s="3">
        <v>20601934389</v>
      </c>
      <c r="F383" s="3" t="s">
        <v>2293</v>
      </c>
      <c r="G383" s="3" t="s">
        <v>2294</v>
      </c>
      <c r="H383" s="3" t="s">
        <v>656</v>
      </c>
      <c r="I383" s="3" t="s">
        <v>656</v>
      </c>
      <c r="J383" s="3" t="s">
        <v>656</v>
      </c>
      <c r="K383" s="3" t="s">
        <v>37</v>
      </c>
      <c r="L383" s="3" t="s">
        <v>166</v>
      </c>
      <c r="M383" s="3" t="s">
        <v>2295</v>
      </c>
      <c r="N383" s="3" t="s">
        <v>41</v>
      </c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>
        <v>20000</v>
      </c>
      <c r="AB383" s="3">
        <v>10000</v>
      </c>
      <c r="AC383" s="4">
        <v>43691</v>
      </c>
      <c r="AD383" s="3" t="s">
        <v>42</v>
      </c>
      <c r="AE383" s="3" t="s">
        <v>95</v>
      </c>
      <c r="AF383" s="3">
        <v>0</v>
      </c>
    </row>
    <row r="384" spans="1:32" ht="27.95" x14ac:dyDescent="0.3">
      <c r="A384" s="5">
        <v>378</v>
      </c>
      <c r="B384" s="5" t="str">
        <f>"201900125779"</f>
        <v>201900125779</v>
      </c>
      <c r="C384" s="5" t="str">
        <f>"85477"</f>
        <v>85477</v>
      </c>
      <c r="D384" s="5" t="s">
        <v>2296</v>
      </c>
      <c r="E384" s="5">
        <v>20477261231</v>
      </c>
      <c r="F384" s="5" t="s">
        <v>2297</v>
      </c>
      <c r="G384" s="5" t="s">
        <v>2298</v>
      </c>
      <c r="H384" s="5" t="s">
        <v>219</v>
      </c>
      <c r="I384" s="5" t="s">
        <v>220</v>
      </c>
      <c r="J384" s="5" t="s">
        <v>220</v>
      </c>
      <c r="K384" s="5" t="s">
        <v>37</v>
      </c>
      <c r="L384" s="5" t="s">
        <v>2299</v>
      </c>
      <c r="M384" s="5" t="s">
        <v>2300</v>
      </c>
      <c r="N384" s="5" t="s">
        <v>66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>
        <v>11050</v>
      </c>
      <c r="AB384" s="5">
        <v>4500</v>
      </c>
      <c r="AC384" s="6">
        <v>43697</v>
      </c>
      <c r="AD384" s="5" t="s">
        <v>42</v>
      </c>
      <c r="AE384" s="5" t="s">
        <v>1144</v>
      </c>
      <c r="AF384" s="5">
        <v>0</v>
      </c>
    </row>
    <row r="385" spans="1:32" ht="27.95" x14ac:dyDescent="0.3">
      <c r="A385" s="3">
        <v>379</v>
      </c>
      <c r="B385" s="3" t="str">
        <f>"201900136312"</f>
        <v>201900136312</v>
      </c>
      <c r="C385" s="3" t="str">
        <f>"128699"</f>
        <v>128699</v>
      </c>
      <c r="D385" s="3" t="s">
        <v>2301</v>
      </c>
      <c r="E385" s="3">
        <v>20600500881</v>
      </c>
      <c r="F385" s="3" t="s">
        <v>2302</v>
      </c>
      <c r="G385" s="3" t="s">
        <v>2303</v>
      </c>
      <c r="H385" s="3" t="s">
        <v>108</v>
      </c>
      <c r="I385" s="3" t="s">
        <v>647</v>
      </c>
      <c r="J385" s="3" t="s">
        <v>1117</v>
      </c>
      <c r="K385" s="3" t="s">
        <v>37</v>
      </c>
      <c r="L385" s="3" t="s">
        <v>63</v>
      </c>
      <c r="M385" s="3" t="s">
        <v>2304</v>
      </c>
      <c r="N385" s="3" t="s">
        <v>94</v>
      </c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>
        <v>12000</v>
      </c>
      <c r="AB385" s="3">
        <v>5000</v>
      </c>
      <c r="AC385" s="4">
        <v>43712</v>
      </c>
      <c r="AD385" s="3" t="s">
        <v>42</v>
      </c>
      <c r="AE385" s="3" t="s">
        <v>2305</v>
      </c>
      <c r="AF385" s="3">
        <v>0</v>
      </c>
    </row>
    <row r="386" spans="1:32" ht="27.95" x14ac:dyDescent="0.3">
      <c r="A386" s="5">
        <v>380</v>
      </c>
      <c r="B386" s="5" t="str">
        <f>"201800037740"</f>
        <v>201800037740</v>
      </c>
      <c r="C386" s="5" t="str">
        <f>"8958"</f>
        <v>8958</v>
      </c>
      <c r="D386" s="5" t="s">
        <v>2306</v>
      </c>
      <c r="E386" s="5">
        <v>20514424315</v>
      </c>
      <c r="F386" s="5" t="s">
        <v>2307</v>
      </c>
      <c r="G386" s="5" t="s">
        <v>2308</v>
      </c>
      <c r="H386" s="5" t="s">
        <v>329</v>
      </c>
      <c r="I386" s="5" t="s">
        <v>329</v>
      </c>
      <c r="J386" s="5" t="s">
        <v>330</v>
      </c>
      <c r="K386" s="5" t="s">
        <v>37</v>
      </c>
      <c r="L386" s="5" t="s">
        <v>2309</v>
      </c>
      <c r="M386" s="5" t="s">
        <v>2310</v>
      </c>
      <c r="N386" s="5" t="s">
        <v>2311</v>
      </c>
      <c r="O386" s="5" t="s">
        <v>94</v>
      </c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>
        <v>24185</v>
      </c>
      <c r="AB386" s="5">
        <v>5000</v>
      </c>
      <c r="AC386" s="6">
        <v>43166</v>
      </c>
      <c r="AD386" s="5" t="s">
        <v>42</v>
      </c>
      <c r="AE386" s="5" t="s">
        <v>2312</v>
      </c>
      <c r="AF386" s="5">
        <v>0</v>
      </c>
    </row>
    <row r="387" spans="1:32" ht="27.95" x14ac:dyDescent="0.3">
      <c r="A387" s="3">
        <v>381</v>
      </c>
      <c r="B387" s="3" t="str">
        <f>"201700154688"</f>
        <v>201700154688</v>
      </c>
      <c r="C387" s="3" t="str">
        <f>"131924"</f>
        <v>131924</v>
      </c>
      <c r="D387" s="3" t="s">
        <v>2313</v>
      </c>
      <c r="E387" s="3">
        <v>20439919818</v>
      </c>
      <c r="F387" s="3" t="s">
        <v>1140</v>
      </c>
      <c r="G387" s="3" t="s">
        <v>2314</v>
      </c>
      <c r="H387" s="3" t="s">
        <v>219</v>
      </c>
      <c r="I387" s="3" t="s">
        <v>220</v>
      </c>
      <c r="J387" s="3" t="s">
        <v>220</v>
      </c>
      <c r="K387" s="3" t="s">
        <v>37</v>
      </c>
      <c r="L387" s="3" t="s">
        <v>2315</v>
      </c>
      <c r="M387" s="3" t="s">
        <v>2316</v>
      </c>
      <c r="N387" s="3" t="s">
        <v>2282</v>
      </c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>
        <v>10000</v>
      </c>
      <c r="AB387" s="3">
        <v>8000</v>
      </c>
      <c r="AC387" s="4">
        <v>43004</v>
      </c>
      <c r="AD387" s="3" t="s">
        <v>42</v>
      </c>
      <c r="AE387" s="3" t="s">
        <v>1144</v>
      </c>
      <c r="AF387" s="3">
        <v>0</v>
      </c>
    </row>
    <row r="388" spans="1:32" ht="27.95" x14ac:dyDescent="0.3">
      <c r="A388" s="5">
        <v>382</v>
      </c>
      <c r="B388" s="5" t="str">
        <f>"201700215019"</f>
        <v>201700215019</v>
      </c>
      <c r="C388" s="5" t="str">
        <f>"83962"</f>
        <v>83962</v>
      </c>
      <c r="D388" s="5" t="s">
        <v>2317</v>
      </c>
      <c r="E388" s="5">
        <v>20370508659</v>
      </c>
      <c r="F388" s="5" t="s">
        <v>2318</v>
      </c>
      <c r="G388" s="5" t="s">
        <v>2319</v>
      </c>
      <c r="H388" s="5" t="s">
        <v>89</v>
      </c>
      <c r="I388" s="5" t="s">
        <v>89</v>
      </c>
      <c r="J388" s="5" t="s">
        <v>834</v>
      </c>
      <c r="K388" s="5" t="s">
        <v>37</v>
      </c>
      <c r="L388" s="5" t="s">
        <v>459</v>
      </c>
      <c r="M388" s="5" t="s">
        <v>2107</v>
      </c>
      <c r="N388" s="5" t="s">
        <v>78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>
        <v>6000</v>
      </c>
      <c r="AB388" s="5">
        <v>3200</v>
      </c>
      <c r="AC388" s="6">
        <v>43088</v>
      </c>
      <c r="AD388" s="5" t="s">
        <v>42</v>
      </c>
      <c r="AE388" s="5" t="s">
        <v>2320</v>
      </c>
      <c r="AF388" s="5">
        <v>0</v>
      </c>
    </row>
    <row r="389" spans="1:32" x14ac:dyDescent="0.3">
      <c r="A389" s="3">
        <v>383</v>
      </c>
      <c r="B389" s="3" t="str">
        <f>"202000131687"</f>
        <v>202000131687</v>
      </c>
      <c r="C389" s="3" t="str">
        <f>"109332"</f>
        <v>109332</v>
      </c>
      <c r="D389" s="3" t="s">
        <v>2321</v>
      </c>
      <c r="E389" s="3">
        <v>20601634741</v>
      </c>
      <c r="F389" s="3" t="s">
        <v>2322</v>
      </c>
      <c r="G389" s="3" t="s">
        <v>2323</v>
      </c>
      <c r="H389" s="3" t="s">
        <v>116</v>
      </c>
      <c r="I389" s="3" t="s">
        <v>2324</v>
      </c>
      <c r="J389" s="3" t="s">
        <v>2324</v>
      </c>
      <c r="K389" s="3" t="s">
        <v>37</v>
      </c>
      <c r="L389" s="3" t="s">
        <v>172</v>
      </c>
      <c r="M389" s="3" t="s">
        <v>76</v>
      </c>
      <c r="N389" s="3" t="s">
        <v>74</v>
      </c>
      <c r="O389" s="3" t="s">
        <v>78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>
        <v>9000</v>
      </c>
      <c r="AB389" s="3">
        <v>3200</v>
      </c>
      <c r="AC389" s="4">
        <v>44111</v>
      </c>
      <c r="AD389" s="3" t="s">
        <v>42</v>
      </c>
      <c r="AE389" s="3" t="s">
        <v>2325</v>
      </c>
      <c r="AF389" s="3">
        <v>720</v>
      </c>
    </row>
    <row r="390" spans="1:32" ht="27.95" x14ac:dyDescent="0.3">
      <c r="A390" s="5">
        <v>384</v>
      </c>
      <c r="B390" s="5" t="str">
        <f>"201800144532"</f>
        <v>201800144532</v>
      </c>
      <c r="C390" s="5" t="str">
        <f>"43020"</f>
        <v>43020</v>
      </c>
      <c r="D390" s="5" t="s">
        <v>2326</v>
      </c>
      <c r="E390" s="5">
        <v>20530763278</v>
      </c>
      <c r="F390" s="5" t="s">
        <v>2327</v>
      </c>
      <c r="G390" s="5" t="s">
        <v>2328</v>
      </c>
      <c r="H390" s="5" t="s">
        <v>58</v>
      </c>
      <c r="I390" s="5" t="s">
        <v>498</v>
      </c>
      <c r="J390" s="5" t="s">
        <v>793</v>
      </c>
      <c r="K390" s="5" t="s">
        <v>37</v>
      </c>
      <c r="L390" s="5" t="s">
        <v>1002</v>
      </c>
      <c r="M390" s="5" t="s">
        <v>2329</v>
      </c>
      <c r="N390" s="5" t="s">
        <v>2330</v>
      </c>
      <c r="O390" s="5" t="s">
        <v>94</v>
      </c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>
        <v>16000</v>
      </c>
      <c r="AB390" s="5">
        <v>5000</v>
      </c>
      <c r="AC390" s="6">
        <v>43344</v>
      </c>
      <c r="AD390" s="5" t="s">
        <v>42</v>
      </c>
      <c r="AE390" s="5" t="s">
        <v>2331</v>
      </c>
      <c r="AF390" s="5">
        <v>240</v>
      </c>
    </row>
    <row r="391" spans="1:32" ht="27.95" x14ac:dyDescent="0.3">
      <c r="A391" s="3">
        <v>385</v>
      </c>
      <c r="B391" s="3" t="str">
        <f>"201900136314"</f>
        <v>201900136314</v>
      </c>
      <c r="C391" s="3" t="str">
        <f>"142314"</f>
        <v>142314</v>
      </c>
      <c r="D391" s="3" t="s">
        <v>2332</v>
      </c>
      <c r="E391" s="3">
        <v>20600500881</v>
      </c>
      <c r="F391" s="3" t="s">
        <v>2302</v>
      </c>
      <c r="G391" s="3" t="s">
        <v>2333</v>
      </c>
      <c r="H391" s="3" t="s">
        <v>108</v>
      </c>
      <c r="I391" s="3" t="s">
        <v>647</v>
      </c>
      <c r="J391" s="3" t="s">
        <v>846</v>
      </c>
      <c r="K391" s="3" t="s">
        <v>37</v>
      </c>
      <c r="L391" s="3" t="s">
        <v>72</v>
      </c>
      <c r="M391" s="3" t="s">
        <v>2334</v>
      </c>
      <c r="N391" s="3" t="s">
        <v>2282</v>
      </c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>
        <v>16000</v>
      </c>
      <c r="AB391" s="3">
        <v>8000</v>
      </c>
      <c r="AC391" s="4">
        <v>43712</v>
      </c>
      <c r="AD391" s="3" t="s">
        <v>42</v>
      </c>
      <c r="AE391" s="3" t="s">
        <v>2305</v>
      </c>
      <c r="AF391" s="3">
        <v>0</v>
      </c>
    </row>
    <row r="392" spans="1:32" ht="27.95" x14ac:dyDescent="0.3">
      <c r="A392" s="5">
        <v>386</v>
      </c>
      <c r="B392" s="5" t="str">
        <f>"201700145512"</f>
        <v>201700145512</v>
      </c>
      <c r="C392" s="5" t="str">
        <f>"124245"</f>
        <v>124245</v>
      </c>
      <c r="D392" s="5" t="s">
        <v>2335</v>
      </c>
      <c r="E392" s="5">
        <v>20602264115</v>
      </c>
      <c r="F392" s="5" t="s">
        <v>2336</v>
      </c>
      <c r="G392" s="5" t="s">
        <v>2337</v>
      </c>
      <c r="H392" s="5" t="s">
        <v>219</v>
      </c>
      <c r="I392" s="5" t="s">
        <v>220</v>
      </c>
      <c r="J392" s="5" t="s">
        <v>220</v>
      </c>
      <c r="K392" s="5" t="s">
        <v>37</v>
      </c>
      <c r="L392" s="5" t="s">
        <v>1001</v>
      </c>
      <c r="M392" s="5" t="s">
        <v>2338</v>
      </c>
      <c r="N392" s="5" t="s">
        <v>2338</v>
      </c>
      <c r="O392" s="5" t="s">
        <v>683</v>
      </c>
      <c r="P392" s="5" t="s">
        <v>669</v>
      </c>
      <c r="Q392" s="5" t="s">
        <v>2339</v>
      </c>
      <c r="R392" s="5" t="s">
        <v>94</v>
      </c>
      <c r="S392" s="5"/>
      <c r="T392" s="5"/>
      <c r="U392" s="5"/>
      <c r="V392" s="5"/>
      <c r="W392" s="5"/>
      <c r="X392" s="5"/>
      <c r="Y392" s="5"/>
      <c r="Z392" s="5"/>
      <c r="AA392" s="5">
        <v>29250</v>
      </c>
      <c r="AB392" s="5">
        <v>5000</v>
      </c>
      <c r="AC392" s="6">
        <v>43002</v>
      </c>
      <c r="AD392" s="5" t="s">
        <v>42</v>
      </c>
      <c r="AE392" s="5" t="s">
        <v>2340</v>
      </c>
      <c r="AF392" s="5">
        <v>0</v>
      </c>
    </row>
    <row r="393" spans="1:32" ht="41.95" x14ac:dyDescent="0.3">
      <c r="A393" s="3">
        <v>387</v>
      </c>
      <c r="B393" s="3" t="str">
        <f>"201900125774"</f>
        <v>201900125774</v>
      </c>
      <c r="C393" s="3" t="str">
        <f>"8878"</f>
        <v>8878</v>
      </c>
      <c r="D393" s="3" t="s">
        <v>2341</v>
      </c>
      <c r="E393" s="3">
        <v>20439919818</v>
      </c>
      <c r="F393" s="3" t="s">
        <v>1140</v>
      </c>
      <c r="G393" s="3" t="s">
        <v>2342</v>
      </c>
      <c r="H393" s="3" t="s">
        <v>219</v>
      </c>
      <c r="I393" s="3" t="s">
        <v>220</v>
      </c>
      <c r="J393" s="3" t="s">
        <v>220</v>
      </c>
      <c r="K393" s="3" t="s">
        <v>37</v>
      </c>
      <c r="L393" s="3" t="s">
        <v>63</v>
      </c>
      <c r="M393" s="3" t="s">
        <v>2003</v>
      </c>
      <c r="N393" s="3" t="s">
        <v>154</v>
      </c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>
        <v>12000</v>
      </c>
      <c r="AB393" s="3">
        <v>6000</v>
      </c>
      <c r="AC393" s="4">
        <v>43697</v>
      </c>
      <c r="AD393" s="3" t="s">
        <v>42</v>
      </c>
      <c r="AE393" s="3" t="s">
        <v>1144</v>
      </c>
      <c r="AF393" s="3">
        <v>0</v>
      </c>
    </row>
    <row r="394" spans="1:32" ht="27.95" x14ac:dyDescent="0.3">
      <c r="A394" s="5">
        <v>388</v>
      </c>
      <c r="B394" s="5" t="str">
        <f>"201700116946"</f>
        <v>201700116946</v>
      </c>
      <c r="C394" s="5" t="str">
        <f>"17872"</f>
        <v>17872</v>
      </c>
      <c r="D394" s="5" t="s">
        <v>2343</v>
      </c>
      <c r="E394" s="5">
        <v>20404553292</v>
      </c>
      <c r="F394" s="5" t="s">
        <v>2344</v>
      </c>
      <c r="G394" s="5" t="s">
        <v>2345</v>
      </c>
      <c r="H394" s="5" t="s">
        <v>125</v>
      </c>
      <c r="I394" s="5" t="s">
        <v>125</v>
      </c>
      <c r="J394" s="5" t="s">
        <v>126</v>
      </c>
      <c r="K394" s="5" t="s">
        <v>37</v>
      </c>
      <c r="L394" s="5" t="s">
        <v>2346</v>
      </c>
      <c r="M394" s="5" t="s">
        <v>2347</v>
      </c>
      <c r="N394" s="5" t="s">
        <v>2348</v>
      </c>
      <c r="O394" s="5" t="s">
        <v>2349</v>
      </c>
      <c r="P394" s="5" t="s">
        <v>94</v>
      </c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31200</v>
      </c>
      <c r="AB394" s="5">
        <v>5000</v>
      </c>
      <c r="AC394" s="6">
        <v>42946</v>
      </c>
      <c r="AD394" s="5" t="s">
        <v>42</v>
      </c>
      <c r="AE394" s="5" t="s">
        <v>1785</v>
      </c>
      <c r="AF394" s="5">
        <v>0</v>
      </c>
    </row>
    <row r="395" spans="1:32" ht="27.95" x14ac:dyDescent="0.3">
      <c r="A395" s="3">
        <v>389</v>
      </c>
      <c r="B395" s="3" t="str">
        <f>"201800033931"</f>
        <v>201800033931</v>
      </c>
      <c r="C395" s="3" t="str">
        <f>"17847"</f>
        <v>17847</v>
      </c>
      <c r="D395" s="3" t="s">
        <v>2350</v>
      </c>
      <c r="E395" s="3">
        <v>20503840121</v>
      </c>
      <c r="F395" s="3" t="s">
        <v>442</v>
      </c>
      <c r="G395" s="3" t="s">
        <v>2351</v>
      </c>
      <c r="H395" s="3" t="s">
        <v>116</v>
      </c>
      <c r="I395" s="3" t="s">
        <v>339</v>
      </c>
      <c r="J395" s="3" t="s">
        <v>612</v>
      </c>
      <c r="K395" s="3" t="s">
        <v>37</v>
      </c>
      <c r="L395" s="3" t="s">
        <v>172</v>
      </c>
      <c r="M395" s="3" t="s">
        <v>72</v>
      </c>
      <c r="N395" s="3" t="s">
        <v>61</v>
      </c>
      <c r="O395" s="3" t="s">
        <v>2352</v>
      </c>
      <c r="P395" s="3" t="s">
        <v>390</v>
      </c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>
        <v>28000</v>
      </c>
      <c r="AB395" s="3">
        <v>5200</v>
      </c>
      <c r="AC395" s="4">
        <v>43159</v>
      </c>
      <c r="AD395" s="3" t="s">
        <v>42</v>
      </c>
      <c r="AE395" s="3" t="s">
        <v>399</v>
      </c>
      <c r="AF395" s="3">
        <v>0</v>
      </c>
    </row>
    <row r="396" spans="1:32" ht="27.95" x14ac:dyDescent="0.3">
      <c r="A396" s="5">
        <v>390</v>
      </c>
      <c r="B396" s="5" t="str">
        <f>"201800076966"</f>
        <v>201800076966</v>
      </c>
      <c r="C396" s="5" t="str">
        <f>"110536"</f>
        <v>110536</v>
      </c>
      <c r="D396" s="5" t="s">
        <v>2353</v>
      </c>
      <c r="E396" s="5">
        <v>20600177126</v>
      </c>
      <c r="F396" s="5" t="s">
        <v>2354</v>
      </c>
      <c r="G396" s="5" t="s">
        <v>2355</v>
      </c>
      <c r="H396" s="5" t="s">
        <v>108</v>
      </c>
      <c r="I396" s="5" t="s">
        <v>647</v>
      </c>
      <c r="J396" s="5" t="s">
        <v>774</v>
      </c>
      <c r="K396" s="5" t="s">
        <v>37</v>
      </c>
      <c r="L396" s="5" t="s">
        <v>2356</v>
      </c>
      <c r="M396" s="5" t="s">
        <v>166</v>
      </c>
      <c r="N396" s="5" t="s">
        <v>2357</v>
      </c>
      <c r="O396" s="5" t="s">
        <v>94</v>
      </c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>
        <v>20000</v>
      </c>
      <c r="AB396" s="5">
        <v>5000</v>
      </c>
      <c r="AC396" s="6">
        <v>43229</v>
      </c>
      <c r="AD396" s="5" t="s">
        <v>42</v>
      </c>
      <c r="AE396" s="5" t="s">
        <v>1882</v>
      </c>
      <c r="AF396" s="5">
        <v>0</v>
      </c>
    </row>
    <row r="397" spans="1:32" ht="41.95" x14ac:dyDescent="0.3">
      <c r="A397" s="3">
        <v>391</v>
      </c>
      <c r="B397" s="3" t="str">
        <f>"201900033139"</f>
        <v>201900033139</v>
      </c>
      <c r="C397" s="3" t="str">
        <f>"141639"</f>
        <v>141639</v>
      </c>
      <c r="D397" s="3" t="s">
        <v>2358</v>
      </c>
      <c r="E397" s="3">
        <v>20285620636</v>
      </c>
      <c r="F397" s="3" t="s">
        <v>2359</v>
      </c>
      <c r="G397" s="3" t="s">
        <v>2360</v>
      </c>
      <c r="H397" s="3" t="s">
        <v>125</v>
      </c>
      <c r="I397" s="3" t="s">
        <v>125</v>
      </c>
      <c r="J397" s="3" t="s">
        <v>1876</v>
      </c>
      <c r="K397" s="3" t="s">
        <v>37</v>
      </c>
      <c r="L397" s="3" t="s">
        <v>63</v>
      </c>
      <c r="M397" s="3" t="s">
        <v>2361</v>
      </c>
      <c r="N397" s="3" t="s">
        <v>172</v>
      </c>
      <c r="O397" s="3" t="s">
        <v>2362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>
        <v>18000</v>
      </c>
      <c r="AB397" s="3">
        <v>6500</v>
      </c>
      <c r="AC397" s="4">
        <v>43532</v>
      </c>
      <c r="AD397" s="3" t="s">
        <v>42</v>
      </c>
      <c r="AE397" s="3" t="s">
        <v>2363</v>
      </c>
      <c r="AF397" s="3">
        <v>0</v>
      </c>
    </row>
    <row r="398" spans="1:32" ht="27.95" x14ac:dyDescent="0.3">
      <c r="A398" s="5">
        <v>392</v>
      </c>
      <c r="B398" s="5" t="str">
        <f>"201900062834"</f>
        <v>201900062834</v>
      </c>
      <c r="C398" s="5" t="str">
        <f>"125288"</f>
        <v>125288</v>
      </c>
      <c r="D398" s="5" t="s">
        <v>2364</v>
      </c>
      <c r="E398" s="5">
        <v>20601025427</v>
      </c>
      <c r="F398" s="5" t="s">
        <v>2365</v>
      </c>
      <c r="G398" s="5" t="s">
        <v>2366</v>
      </c>
      <c r="H398" s="5" t="s">
        <v>450</v>
      </c>
      <c r="I398" s="5" t="s">
        <v>605</v>
      </c>
      <c r="J398" s="5" t="s">
        <v>2367</v>
      </c>
      <c r="K398" s="5" t="s">
        <v>37</v>
      </c>
      <c r="L398" s="5" t="s">
        <v>72</v>
      </c>
      <c r="M398" s="5" t="s">
        <v>2368</v>
      </c>
      <c r="N398" s="5" t="s">
        <v>94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16000</v>
      </c>
      <c r="AB398" s="5">
        <v>5000</v>
      </c>
      <c r="AC398" s="6">
        <v>43578</v>
      </c>
      <c r="AD398" s="5" t="s">
        <v>42</v>
      </c>
      <c r="AE398" s="5" t="s">
        <v>2369</v>
      </c>
      <c r="AF398" s="5">
        <v>240</v>
      </c>
    </row>
    <row r="399" spans="1:32" ht="27.95" x14ac:dyDescent="0.3">
      <c r="A399" s="3">
        <v>393</v>
      </c>
      <c r="B399" s="3" t="str">
        <f>"202000111853"</f>
        <v>202000111853</v>
      </c>
      <c r="C399" s="3" t="str">
        <f>"138453"</f>
        <v>138453</v>
      </c>
      <c r="D399" s="3" t="s">
        <v>2370</v>
      </c>
      <c r="E399" s="3">
        <v>20514636843</v>
      </c>
      <c r="F399" s="3" t="s">
        <v>1553</v>
      </c>
      <c r="G399" s="3" t="s">
        <v>2371</v>
      </c>
      <c r="H399" s="3" t="s">
        <v>116</v>
      </c>
      <c r="I399" s="3" t="s">
        <v>2324</v>
      </c>
      <c r="J399" s="3" t="s">
        <v>2372</v>
      </c>
      <c r="K399" s="3" t="s">
        <v>37</v>
      </c>
      <c r="L399" s="3" t="s">
        <v>166</v>
      </c>
      <c r="M399" s="3" t="s">
        <v>161</v>
      </c>
      <c r="N399" s="3" t="s">
        <v>1367</v>
      </c>
      <c r="O399" s="3" t="s">
        <v>555</v>
      </c>
      <c r="P399" s="3" t="s">
        <v>1111</v>
      </c>
      <c r="Q399" s="3" t="s">
        <v>41</v>
      </c>
      <c r="R399" s="3"/>
      <c r="S399" s="3"/>
      <c r="T399" s="3"/>
      <c r="U399" s="3"/>
      <c r="V399" s="3"/>
      <c r="W399" s="3"/>
      <c r="X399" s="3"/>
      <c r="Y399" s="3"/>
      <c r="Z399" s="3"/>
      <c r="AA399" s="3">
        <v>25000</v>
      </c>
      <c r="AB399" s="3">
        <v>10000</v>
      </c>
      <c r="AC399" s="4">
        <v>44071</v>
      </c>
      <c r="AD399" s="3" t="s">
        <v>42</v>
      </c>
      <c r="AE399" s="3" t="s">
        <v>2373</v>
      </c>
      <c r="AF399" s="3">
        <v>720</v>
      </c>
    </row>
    <row r="400" spans="1:32" ht="27.95" x14ac:dyDescent="0.3">
      <c r="A400" s="5">
        <v>394</v>
      </c>
      <c r="B400" s="5" t="str">
        <f>"201700005540"</f>
        <v>201700005540</v>
      </c>
      <c r="C400" s="5" t="str">
        <f>"64220"</f>
        <v>64220</v>
      </c>
      <c r="D400" s="5" t="s">
        <v>2374</v>
      </c>
      <c r="E400" s="5">
        <v>20452373620</v>
      </c>
      <c r="F400" s="5" t="s">
        <v>2375</v>
      </c>
      <c r="G400" s="5" t="s">
        <v>2376</v>
      </c>
      <c r="H400" s="5" t="s">
        <v>47</v>
      </c>
      <c r="I400" s="5" t="s">
        <v>47</v>
      </c>
      <c r="J400" s="5" t="s">
        <v>48</v>
      </c>
      <c r="K400" s="5" t="s">
        <v>37</v>
      </c>
      <c r="L400" s="5" t="s">
        <v>63</v>
      </c>
      <c r="M400" s="5" t="s">
        <v>63</v>
      </c>
      <c r="N400" s="5" t="s">
        <v>2377</v>
      </c>
      <c r="O400" s="5" t="s">
        <v>263</v>
      </c>
      <c r="P400" s="5" t="s">
        <v>161</v>
      </c>
      <c r="Q400" s="5" t="s">
        <v>248</v>
      </c>
      <c r="R400" s="5"/>
      <c r="S400" s="5"/>
      <c r="T400" s="5"/>
      <c r="U400" s="5"/>
      <c r="V400" s="5"/>
      <c r="W400" s="5"/>
      <c r="X400" s="5"/>
      <c r="Y400" s="5"/>
      <c r="Z400" s="5"/>
      <c r="AA400" s="5">
        <v>30000</v>
      </c>
      <c r="AB400" s="5">
        <v>3000</v>
      </c>
      <c r="AC400" s="6">
        <v>42769</v>
      </c>
      <c r="AD400" s="5" t="s">
        <v>42</v>
      </c>
      <c r="AE400" s="5" t="s">
        <v>2378</v>
      </c>
      <c r="AF400" s="5">
        <v>0</v>
      </c>
    </row>
    <row r="401" spans="1:32" ht="27.95" x14ac:dyDescent="0.3">
      <c r="A401" s="3">
        <v>395</v>
      </c>
      <c r="B401" s="3" t="str">
        <f>"201900164507"</f>
        <v>201900164507</v>
      </c>
      <c r="C401" s="3" t="str">
        <f>"142298"</f>
        <v>142298</v>
      </c>
      <c r="D401" s="3" t="s">
        <v>2379</v>
      </c>
      <c r="E401" s="3">
        <v>20557583441</v>
      </c>
      <c r="F401" s="3" t="s">
        <v>2380</v>
      </c>
      <c r="G401" s="3" t="s">
        <v>2381</v>
      </c>
      <c r="H401" s="3" t="s">
        <v>58</v>
      </c>
      <c r="I401" s="3" t="s">
        <v>58</v>
      </c>
      <c r="J401" s="3" t="s">
        <v>1058</v>
      </c>
      <c r="K401" s="3" t="s">
        <v>37</v>
      </c>
      <c r="L401" s="3" t="s">
        <v>166</v>
      </c>
      <c r="M401" s="3" t="s">
        <v>2382</v>
      </c>
      <c r="N401" s="3" t="s">
        <v>161</v>
      </c>
      <c r="O401" s="3" t="s">
        <v>166</v>
      </c>
      <c r="P401" s="3" t="s">
        <v>2382</v>
      </c>
      <c r="Q401" s="3" t="s">
        <v>161</v>
      </c>
      <c r="R401" s="3" t="s">
        <v>154</v>
      </c>
      <c r="S401" s="3"/>
      <c r="T401" s="3"/>
      <c r="U401" s="3"/>
      <c r="V401" s="3"/>
      <c r="W401" s="3"/>
      <c r="X401" s="3"/>
      <c r="Y401" s="3"/>
      <c r="Z401" s="3"/>
      <c r="AA401" s="3">
        <v>48000</v>
      </c>
      <c r="AB401" s="3">
        <v>6000</v>
      </c>
      <c r="AC401" s="4">
        <v>43749</v>
      </c>
      <c r="AD401" s="3" t="s">
        <v>42</v>
      </c>
      <c r="AE401" s="3" t="s">
        <v>2383</v>
      </c>
      <c r="AF401" s="3">
        <v>0</v>
      </c>
    </row>
    <row r="402" spans="1:32" ht="27.95" x14ac:dyDescent="0.3">
      <c r="A402" s="5">
        <v>396</v>
      </c>
      <c r="B402" s="5" t="str">
        <f>"201800153601"</f>
        <v>201800153601</v>
      </c>
      <c r="C402" s="5" t="str">
        <f>"9230"</f>
        <v>9230</v>
      </c>
      <c r="D402" s="5" t="s">
        <v>2384</v>
      </c>
      <c r="E402" s="5">
        <v>20600203887</v>
      </c>
      <c r="F402" s="5" t="s">
        <v>2385</v>
      </c>
      <c r="G402" s="5" t="s">
        <v>2386</v>
      </c>
      <c r="H402" s="5" t="s">
        <v>108</v>
      </c>
      <c r="I402" s="5" t="s">
        <v>647</v>
      </c>
      <c r="J402" s="5" t="s">
        <v>846</v>
      </c>
      <c r="K402" s="5" t="s">
        <v>37</v>
      </c>
      <c r="L402" s="5" t="s">
        <v>63</v>
      </c>
      <c r="M402" s="5" t="s">
        <v>74</v>
      </c>
      <c r="N402" s="5" t="s">
        <v>555</v>
      </c>
      <c r="O402" s="5" t="s">
        <v>94</v>
      </c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>
        <v>12000</v>
      </c>
      <c r="AB402" s="5">
        <v>5000</v>
      </c>
      <c r="AC402" s="6">
        <v>43363</v>
      </c>
      <c r="AD402" s="5" t="s">
        <v>42</v>
      </c>
      <c r="AE402" s="5" t="s">
        <v>1643</v>
      </c>
      <c r="AF402" s="5">
        <v>0</v>
      </c>
    </row>
    <row r="403" spans="1:32" ht="27.95" x14ac:dyDescent="0.3">
      <c r="A403" s="3">
        <v>397</v>
      </c>
      <c r="B403" s="3" t="str">
        <f>"202000111454"</f>
        <v>202000111454</v>
      </c>
      <c r="C403" s="3" t="str">
        <f>"140688"</f>
        <v>140688</v>
      </c>
      <c r="D403" s="3" t="s">
        <v>2387</v>
      </c>
      <c r="E403" s="3">
        <v>20600541146</v>
      </c>
      <c r="F403" s="3" t="s">
        <v>2388</v>
      </c>
      <c r="G403" s="3" t="s">
        <v>2389</v>
      </c>
      <c r="H403" s="3" t="s">
        <v>47</v>
      </c>
      <c r="I403" s="3" t="s">
        <v>290</v>
      </c>
      <c r="J403" s="3" t="s">
        <v>290</v>
      </c>
      <c r="K403" s="3" t="s">
        <v>37</v>
      </c>
      <c r="L403" s="3" t="s">
        <v>172</v>
      </c>
      <c r="M403" s="3" t="s">
        <v>2390</v>
      </c>
      <c r="N403" s="3" t="s">
        <v>103</v>
      </c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>
        <v>8000</v>
      </c>
      <c r="AB403" s="3">
        <v>2500</v>
      </c>
      <c r="AC403" s="4">
        <v>44069</v>
      </c>
      <c r="AD403" s="3" t="s">
        <v>42</v>
      </c>
      <c r="AE403" s="3" t="s">
        <v>2391</v>
      </c>
      <c r="AF403" s="3">
        <v>0</v>
      </c>
    </row>
    <row r="404" spans="1:32" ht="27.95" x14ac:dyDescent="0.3">
      <c r="A404" s="5">
        <v>398</v>
      </c>
      <c r="B404" s="5" t="str">
        <f>"201900204100"</f>
        <v>201900204100</v>
      </c>
      <c r="C404" s="5" t="str">
        <f>"7474"</f>
        <v>7474</v>
      </c>
      <c r="D404" s="5" t="s">
        <v>2392</v>
      </c>
      <c r="E404" s="5">
        <v>20127765279</v>
      </c>
      <c r="F404" s="5" t="s">
        <v>1115</v>
      </c>
      <c r="G404" s="5" t="s">
        <v>2393</v>
      </c>
      <c r="H404" s="5" t="s">
        <v>58</v>
      </c>
      <c r="I404" s="5" t="s">
        <v>58</v>
      </c>
      <c r="J404" s="5" t="s">
        <v>2394</v>
      </c>
      <c r="K404" s="5" t="s">
        <v>37</v>
      </c>
      <c r="L404" s="5" t="s">
        <v>1278</v>
      </c>
      <c r="M404" s="5" t="s">
        <v>263</v>
      </c>
      <c r="N404" s="5" t="s">
        <v>63</v>
      </c>
      <c r="O404" s="5" t="s">
        <v>161</v>
      </c>
      <c r="P404" s="5" t="s">
        <v>103</v>
      </c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>
        <v>32500</v>
      </c>
      <c r="AB404" s="5">
        <v>2500</v>
      </c>
      <c r="AC404" s="6">
        <v>43811</v>
      </c>
      <c r="AD404" s="5" t="s">
        <v>42</v>
      </c>
      <c r="AE404" s="5" t="s">
        <v>279</v>
      </c>
      <c r="AF404" s="5">
        <v>720</v>
      </c>
    </row>
    <row r="405" spans="1:32" x14ac:dyDescent="0.3">
      <c r="A405" s="3">
        <v>399</v>
      </c>
      <c r="B405" s="3" t="str">
        <f>"201800107046"</f>
        <v>201800107046</v>
      </c>
      <c r="C405" s="3" t="str">
        <f>"6844"</f>
        <v>6844</v>
      </c>
      <c r="D405" s="3" t="s">
        <v>2395</v>
      </c>
      <c r="E405" s="3">
        <v>20603278977</v>
      </c>
      <c r="F405" s="3" t="s">
        <v>2396</v>
      </c>
      <c r="G405" s="3" t="s">
        <v>2397</v>
      </c>
      <c r="H405" s="3" t="s">
        <v>108</v>
      </c>
      <c r="I405" s="3" t="s">
        <v>852</v>
      </c>
      <c r="J405" s="3" t="s">
        <v>2398</v>
      </c>
      <c r="K405" s="3" t="s">
        <v>37</v>
      </c>
      <c r="L405" s="3" t="s">
        <v>102</v>
      </c>
      <c r="M405" s="3" t="s">
        <v>161</v>
      </c>
      <c r="N405" s="3" t="s">
        <v>2399</v>
      </c>
      <c r="O405" s="3" t="s">
        <v>63</v>
      </c>
      <c r="P405" s="3" t="s">
        <v>2400</v>
      </c>
      <c r="Q405" s="3" t="s">
        <v>94</v>
      </c>
      <c r="R405" s="3"/>
      <c r="S405" s="3"/>
      <c r="T405" s="3"/>
      <c r="U405" s="3"/>
      <c r="V405" s="3"/>
      <c r="W405" s="3"/>
      <c r="X405" s="3"/>
      <c r="Y405" s="3"/>
      <c r="Z405" s="3"/>
      <c r="AA405" s="3">
        <v>23000</v>
      </c>
      <c r="AB405" s="3">
        <v>5000</v>
      </c>
      <c r="AC405" s="4">
        <v>43283</v>
      </c>
      <c r="AD405" s="3" t="s">
        <v>42</v>
      </c>
      <c r="AE405" s="3" t="s">
        <v>2401</v>
      </c>
      <c r="AF405" s="3">
        <v>0</v>
      </c>
    </row>
    <row r="406" spans="1:32" ht="27.95" x14ac:dyDescent="0.3">
      <c r="A406" s="5">
        <v>400</v>
      </c>
      <c r="B406" s="5" t="str">
        <f>"201500076560"</f>
        <v>201500076560</v>
      </c>
      <c r="C406" s="5" t="str">
        <f>"17868"</f>
        <v>17868</v>
      </c>
      <c r="D406" s="5" t="s">
        <v>2402</v>
      </c>
      <c r="E406" s="5">
        <v>20551615856</v>
      </c>
      <c r="F406" s="5" t="s">
        <v>2403</v>
      </c>
      <c r="G406" s="5" t="s">
        <v>2404</v>
      </c>
      <c r="H406" s="5" t="s">
        <v>58</v>
      </c>
      <c r="I406" s="5" t="s">
        <v>58</v>
      </c>
      <c r="J406" s="5" t="s">
        <v>2405</v>
      </c>
      <c r="K406" s="5" t="s">
        <v>37</v>
      </c>
      <c r="L406" s="5" t="s">
        <v>72</v>
      </c>
      <c r="M406" s="5" t="s">
        <v>72</v>
      </c>
      <c r="N406" s="5" t="s">
        <v>562</v>
      </c>
      <c r="O406" s="5" t="s">
        <v>73</v>
      </c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>
        <v>34000</v>
      </c>
      <c r="AB406" s="5">
        <v>2000</v>
      </c>
      <c r="AC406" s="6">
        <v>42177</v>
      </c>
      <c r="AD406" s="5" t="s">
        <v>42</v>
      </c>
      <c r="AE406" s="5" t="s">
        <v>2406</v>
      </c>
      <c r="AF406" s="5">
        <v>0</v>
      </c>
    </row>
    <row r="407" spans="1:32" ht="27.95" x14ac:dyDescent="0.3">
      <c r="A407" s="3">
        <v>401</v>
      </c>
      <c r="B407" s="3" t="str">
        <f>"201800077838"</f>
        <v>201800077838</v>
      </c>
      <c r="C407" s="3" t="str">
        <f>"88596"</f>
        <v>88596</v>
      </c>
      <c r="D407" s="3" t="s">
        <v>2407</v>
      </c>
      <c r="E407" s="3">
        <v>10201066498</v>
      </c>
      <c r="F407" s="3" t="s">
        <v>2408</v>
      </c>
      <c r="G407" s="3" t="s">
        <v>2409</v>
      </c>
      <c r="H407" s="3" t="s">
        <v>108</v>
      </c>
      <c r="I407" s="3" t="s">
        <v>647</v>
      </c>
      <c r="J407" s="3" t="s">
        <v>846</v>
      </c>
      <c r="K407" s="3" t="s">
        <v>37</v>
      </c>
      <c r="L407" s="3" t="s">
        <v>63</v>
      </c>
      <c r="M407" s="3" t="s">
        <v>161</v>
      </c>
      <c r="N407" s="3" t="s">
        <v>555</v>
      </c>
      <c r="O407" s="3" t="s">
        <v>1111</v>
      </c>
      <c r="P407" s="3" t="s">
        <v>248</v>
      </c>
      <c r="Q407" s="3" t="s">
        <v>248</v>
      </c>
      <c r="R407" s="3"/>
      <c r="S407" s="3"/>
      <c r="T407" s="3"/>
      <c r="U407" s="3"/>
      <c r="V407" s="3"/>
      <c r="W407" s="3"/>
      <c r="X407" s="3"/>
      <c r="Y407" s="3"/>
      <c r="Z407" s="3"/>
      <c r="AA407" s="3">
        <v>18000</v>
      </c>
      <c r="AB407" s="3">
        <v>6000</v>
      </c>
      <c r="AC407" s="4">
        <v>43234</v>
      </c>
      <c r="AD407" s="3" t="s">
        <v>42</v>
      </c>
      <c r="AE407" s="3" t="s">
        <v>2408</v>
      </c>
      <c r="AF407" s="3">
        <v>0</v>
      </c>
    </row>
    <row r="408" spans="1:32" x14ac:dyDescent="0.3">
      <c r="A408" s="5">
        <v>402</v>
      </c>
      <c r="B408" s="5" t="str">
        <f>"201700152667"</f>
        <v>201700152667</v>
      </c>
      <c r="C408" s="5" t="str">
        <f>"16682"</f>
        <v>16682</v>
      </c>
      <c r="D408" s="5" t="s">
        <v>2410</v>
      </c>
      <c r="E408" s="5">
        <v>20527053049</v>
      </c>
      <c r="F408" s="5" t="s">
        <v>2411</v>
      </c>
      <c r="G408" s="5" t="s">
        <v>2412</v>
      </c>
      <c r="H408" s="5" t="s">
        <v>2413</v>
      </c>
      <c r="I408" s="5" t="s">
        <v>2414</v>
      </c>
      <c r="J408" s="5" t="s">
        <v>2414</v>
      </c>
      <c r="K408" s="5" t="s">
        <v>37</v>
      </c>
      <c r="L408" s="5" t="s">
        <v>166</v>
      </c>
      <c r="M408" s="5" t="s">
        <v>2415</v>
      </c>
      <c r="N408" s="5" t="s">
        <v>381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>
        <v>15000</v>
      </c>
      <c r="AB408" s="5">
        <v>2000</v>
      </c>
      <c r="AC408" s="6">
        <v>43004</v>
      </c>
      <c r="AD408" s="5" t="s">
        <v>42</v>
      </c>
      <c r="AE408" s="5" t="s">
        <v>2416</v>
      </c>
      <c r="AF408" s="5">
        <v>720</v>
      </c>
    </row>
    <row r="409" spans="1:32" ht="27.95" x14ac:dyDescent="0.3">
      <c r="A409" s="3">
        <v>403</v>
      </c>
      <c r="B409" s="3" t="str">
        <f>"201900153215"</f>
        <v>201900153215</v>
      </c>
      <c r="C409" s="3" t="str">
        <f>"8682"</f>
        <v>8682</v>
      </c>
      <c r="D409" s="3" t="s">
        <v>2417</v>
      </c>
      <c r="E409" s="3">
        <v>20357538344</v>
      </c>
      <c r="F409" s="3" t="s">
        <v>2418</v>
      </c>
      <c r="G409" s="3" t="s">
        <v>2419</v>
      </c>
      <c r="H409" s="3" t="s">
        <v>2073</v>
      </c>
      <c r="I409" s="3" t="s">
        <v>2073</v>
      </c>
      <c r="J409" s="3" t="s">
        <v>2420</v>
      </c>
      <c r="K409" s="3" t="s">
        <v>37</v>
      </c>
      <c r="L409" s="3" t="s">
        <v>1826</v>
      </c>
      <c r="M409" s="3" t="s">
        <v>174</v>
      </c>
      <c r="N409" s="3" t="s">
        <v>166</v>
      </c>
      <c r="O409" s="3" t="s">
        <v>174</v>
      </c>
      <c r="P409" s="3" t="s">
        <v>94</v>
      </c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>
        <v>27000</v>
      </c>
      <c r="AB409" s="3">
        <v>5000</v>
      </c>
      <c r="AC409" s="4">
        <v>43728</v>
      </c>
      <c r="AD409" s="3" t="s">
        <v>42</v>
      </c>
      <c r="AE409" s="3" t="s">
        <v>2421</v>
      </c>
      <c r="AF409" s="3">
        <v>0</v>
      </c>
    </row>
    <row r="410" spans="1:32" ht="27.95" x14ac:dyDescent="0.3">
      <c r="A410" s="5">
        <v>404</v>
      </c>
      <c r="B410" s="5" t="str">
        <f>"201800016685"</f>
        <v>201800016685</v>
      </c>
      <c r="C410" s="5" t="str">
        <f>"8175"</f>
        <v>8175</v>
      </c>
      <c r="D410" s="5" t="s">
        <v>2422</v>
      </c>
      <c r="E410" s="5">
        <v>20127765279</v>
      </c>
      <c r="F410" s="5" t="s">
        <v>1115</v>
      </c>
      <c r="G410" s="5" t="s">
        <v>2423</v>
      </c>
      <c r="H410" s="5" t="s">
        <v>219</v>
      </c>
      <c r="I410" s="5" t="s">
        <v>220</v>
      </c>
      <c r="J410" s="5" t="s">
        <v>302</v>
      </c>
      <c r="K410" s="5" t="s">
        <v>37</v>
      </c>
      <c r="L410" s="5" t="s">
        <v>2424</v>
      </c>
      <c r="M410" s="5" t="s">
        <v>2425</v>
      </c>
      <c r="N410" s="5" t="s">
        <v>868</v>
      </c>
      <c r="O410" s="5" t="s">
        <v>94</v>
      </c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>
        <v>13300</v>
      </c>
      <c r="AB410" s="5">
        <v>5000</v>
      </c>
      <c r="AC410" s="6">
        <v>43133</v>
      </c>
      <c r="AD410" s="5" t="s">
        <v>42</v>
      </c>
      <c r="AE410" s="5" t="s">
        <v>2426</v>
      </c>
      <c r="AF410" s="5">
        <v>720</v>
      </c>
    </row>
    <row r="411" spans="1:32" ht="27.95" x14ac:dyDescent="0.3">
      <c r="A411" s="3">
        <v>405</v>
      </c>
      <c r="B411" s="3" t="str">
        <f>"201800164665"</f>
        <v>201800164665</v>
      </c>
      <c r="C411" s="3" t="str">
        <f>"94940"</f>
        <v>94940</v>
      </c>
      <c r="D411" s="3" t="s">
        <v>2427</v>
      </c>
      <c r="E411" s="3">
        <v>20603624760</v>
      </c>
      <c r="F411" s="3" t="s">
        <v>1174</v>
      </c>
      <c r="G411" s="3" t="s">
        <v>2428</v>
      </c>
      <c r="H411" s="3" t="s">
        <v>125</v>
      </c>
      <c r="I411" s="3" t="s">
        <v>591</v>
      </c>
      <c r="J411" s="3" t="s">
        <v>591</v>
      </c>
      <c r="K411" s="3" t="s">
        <v>37</v>
      </c>
      <c r="L411" s="3" t="s">
        <v>172</v>
      </c>
      <c r="M411" s="3" t="s">
        <v>2429</v>
      </c>
      <c r="N411" s="3" t="s">
        <v>2430</v>
      </c>
      <c r="O411" s="3" t="s">
        <v>94</v>
      </c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>
        <v>18000</v>
      </c>
      <c r="AB411" s="3">
        <v>5000</v>
      </c>
      <c r="AC411" s="4">
        <v>43377</v>
      </c>
      <c r="AD411" s="3" t="s">
        <v>42</v>
      </c>
      <c r="AE411" s="3" t="s">
        <v>1179</v>
      </c>
      <c r="AF411" s="3">
        <v>0</v>
      </c>
    </row>
    <row r="412" spans="1:32" ht="27.95" x14ac:dyDescent="0.3">
      <c r="A412" s="5">
        <v>406</v>
      </c>
      <c r="B412" s="5" t="str">
        <f>"202000076477"</f>
        <v>202000076477</v>
      </c>
      <c r="C412" s="5" t="str">
        <f>"95502"</f>
        <v>95502</v>
      </c>
      <c r="D412" s="5" t="s">
        <v>2431</v>
      </c>
      <c r="E412" s="5">
        <v>20516903113</v>
      </c>
      <c r="F412" s="5" t="s">
        <v>2432</v>
      </c>
      <c r="G412" s="5" t="s">
        <v>2433</v>
      </c>
      <c r="H412" s="5" t="s">
        <v>89</v>
      </c>
      <c r="I412" s="5" t="s">
        <v>89</v>
      </c>
      <c r="J412" s="5" t="s">
        <v>309</v>
      </c>
      <c r="K412" s="5" t="s">
        <v>37</v>
      </c>
      <c r="L412" s="5" t="s">
        <v>166</v>
      </c>
      <c r="M412" s="5" t="s">
        <v>63</v>
      </c>
      <c r="N412" s="5" t="s">
        <v>84</v>
      </c>
      <c r="O412" s="5" t="s">
        <v>381</v>
      </c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>
        <v>20000</v>
      </c>
      <c r="AB412" s="5">
        <v>2000</v>
      </c>
      <c r="AC412" s="6">
        <v>44015</v>
      </c>
      <c r="AD412" s="5" t="s">
        <v>42</v>
      </c>
      <c r="AE412" s="5" t="s">
        <v>2434</v>
      </c>
      <c r="AF412" s="5">
        <v>720</v>
      </c>
    </row>
    <row r="413" spans="1:32" ht="27.95" x14ac:dyDescent="0.3">
      <c r="A413" s="3">
        <v>407</v>
      </c>
      <c r="B413" s="3" t="str">
        <f>"201400088916"</f>
        <v>201400088916</v>
      </c>
      <c r="C413" s="3" t="str">
        <f>"38192"</f>
        <v>38192</v>
      </c>
      <c r="D413" s="3" t="s">
        <v>2435</v>
      </c>
      <c r="E413" s="3">
        <v>20501683109</v>
      </c>
      <c r="F413" s="3" t="s">
        <v>2436</v>
      </c>
      <c r="G413" s="3" t="s">
        <v>2437</v>
      </c>
      <c r="H413" s="3" t="s">
        <v>58</v>
      </c>
      <c r="I413" s="3" t="s">
        <v>58</v>
      </c>
      <c r="J413" s="3" t="s">
        <v>545</v>
      </c>
      <c r="K413" s="3" t="s">
        <v>37</v>
      </c>
      <c r="L413" s="3" t="s">
        <v>2438</v>
      </c>
      <c r="M413" s="3" t="s">
        <v>2439</v>
      </c>
      <c r="N413" s="3" t="s">
        <v>387</v>
      </c>
      <c r="O413" s="3" t="s">
        <v>248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>
        <v>21000</v>
      </c>
      <c r="AB413" s="3">
        <v>3000</v>
      </c>
      <c r="AC413" s="4">
        <v>41831</v>
      </c>
      <c r="AD413" s="3" t="s">
        <v>42</v>
      </c>
      <c r="AE413" s="3" t="s">
        <v>1124</v>
      </c>
      <c r="AF413" s="3">
        <v>0</v>
      </c>
    </row>
    <row r="414" spans="1:32" ht="27.95" x14ac:dyDescent="0.3">
      <c r="A414" s="5">
        <v>408</v>
      </c>
      <c r="B414" s="5" t="str">
        <f>"202000062768"</f>
        <v>202000062768</v>
      </c>
      <c r="C414" s="5" t="str">
        <f>"21353"</f>
        <v>21353</v>
      </c>
      <c r="D414" s="5" t="s">
        <v>2440</v>
      </c>
      <c r="E414" s="5">
        <v>20514636843</v>
      </c>
      <c r="F414" s="5" t="s">
        <v>1553</v>
      </c>
      <c r="G414" s="5" t="s">
        <v>2441</v>
      </c>
      <c r="H414" s="5" t="s">
        <v>187</v>
      </c>
      <c r="I414" s="5" t="s">
        <v>187</v>
      </c>
      <c r="J414" s="5" t="s">
        <v>769</v>
      </c>
      <c r="K414" s="5" t="s">
        <v>37</v>
      </c>
      <c r="L414" s="5" t="s">
        <v>166</v>
      </c>
      <c r="M414" s="5" t="s">
        <v>161</v>
      </c>
      <c r="N414" s="5" t="s">
        <v>812</v>
      </c>
      <c r="O414" s="5" t="s">
        <v>1111</v>
      </c>
      <c r="P414" s="5" t="s">
        <v>63</v>
      </c>
      <c r="Q414" s="5" t="s">
        <v>555</v>
      </c>
      <c r="R414" s="5" t="s">
        <v>94</v>
      </c>
      <c r="S414" s="5"/>
      <c r="T414" s="5"/>
      <c r="U414" s="5"/>
      <c r="V414" s="5"/>
      <c r="W414" s="5"/>
      <c r="X414" s="5"/>
      <c r="Y414" s="5"/>
      <c r="Z414" s="5"/>
      <c r="AA414" s="5">
        <v>30300</v>
      </c>
      <c r="AB414" s="5">
        <v>5000</v>
      </c>
      <c r="AC414" s="6">
        <v>43986</v>
      </c>
      <c r="AD414" s="5" t="s">
        <v>42</v>
      </c>
      <c r="AE414" s="5" t="s">
        <v>2442</v>
      </c>
      <c r="AF414" s="5">
        <v>0</v>
      </c>
    </row>
    <row r="415" spans="1:32" ht="27.95" x14ac:dyDescent="0.3">
      <c r="A415" s="3">
        <v>409</v>
      </c>
      <c r="B415" s="3" t="str">
        <f>"202000139908"</f>
        <v>202000139908</v>
      </c>
      <c r="C415" s="3" t="str">
        <f>"151798"</f>
        <v>151798</v>
      </c>
      <c r="D415" s="3" t="s">
        <v>2443</v>
      </c>
      <c r="E415" s="3">
        <v>20602669182</v>
      </c>
      <c r="F415" s="3" t="s">
        <v>2444</v>
      </c>
      <c r="G415" s="3" t="s">
        <v>2445</v>
      </c>
      <c r="H415" s="3" t="s">
        <v>134</v>
      </c>
      <c r="I415" s="3" t="s">
        <v>135</v>
      </c>
      <c r="J415" s="3" t="s">
        <v>135</v>
      </c>
      <c r="K415" s="3" t="s">
        <v>37</v>
      </c>
      <c r="L415" s="3" t="s">
        <v>387</v>
      </c>
      <c r="M415" s="3" t="s">
        <v>2446</v>
      </c>
      <c r="N415" s="3" t="s">
        <v>94</v>
      </c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>
        <v>18000</v>
      </c>
      <c r="AB415" s="3">
        <v>5000</v>
      </c>
      <c r="AC415" s="4">
        <v>44117</v>
      </c>
      <c r="AD415" s="3" t="s">
        <v>42</v>
      </c>
      <c r="AE415" s="3" t="s">
        <v>2447</v>
      </c>
      <c r="AF415" s="3">
        <v>0</v>
      </c>
    </row>
    <row r="416" spans="1:32" ht="27.95" x14ac:dyDescent="0.3">
      <c r="A416" s="5">
        <v>410</v>
      </c>
      <c r="B416" s="5" t="str">
        <f>"201700122405"</f>
        <v>201700122405</v>
      </c>
      <c r="C416" s="5" t="str">
        <f>"8580"</f>
        <v>8580</v>
      </c>
      <c r="D416" s="5" t="s">
        <v>2448</v>
      </c>
      <c r="E416" s="5">
        <v>20506151547</v>
      </c>
      <c r="F416" s="5" t="s">
        <v>1522</v>
      </c>
      <c r="G416" s="5" t="s">
        <v>2449</v>
      </c>
      <c r="H416" s="5" t="s">
        <v>58</v>
      </c>
      <c r="I416" s="5" t="s">
        <v>58</v>
      </c>
      <c r="J416" s="5" t="s">
        <v>403</v>
      </c>
      <c r="K416" s="5" t="s">
        <v>37</v>
      </c>
      <c r="L416" s="5" t="s">
        <v>263</v>
      </c>
      <c r="M416" s="5" t="s">
        <v>63</v>
      </c>
      <c r="N416" s="5" t="s">
        <v>775</v>
      </c>
      <c r="O416" s="5" t="s">
        <v>775</v>
      </c>
      <c r="P416" s="5" t="s">
        <v>775</v>
      </c>
      <c r="Q416" s="5" t="s">
        <v>161</v>
      </c>
      <c r="R416" s="5" t="s">
        <v>775</v>
      </c>
      <c r="S416" s="5" t="s">
        <v>381</v>
      </c>
      <c r="T416" s="5"/>
      <c r="U416" s="5"/>
      <c r="V416" s="5"/>
      <c r="W416" s="5"/>
      <c r="X416" s="5"/>
      <c r="Y416" s="5"/>
      <c r="Z416" s="5"/>
      <c r="AA416" s="5">
        <v>42000</v>
      </c>
      <c r="AB416" s="5">
        <v>2000</v>
      </c>
      <c r="AC416" s="6">
        <v>42954</v>
      </c>
      <c r="AD416" s="5" t="s">
        <v>42</v>
      </c>
      <c r="AE416" s="5" t="s">
        <v>2450</v>
      </c>
      <c r="AF416" s="5">
        <v>480</v>
      </c>
    </row>
    <row r="417" spans="1:32" ht="27.95" x14ac:dyDescent="0.3">
      <c r="A417" s="3">
        <v>411</v>
      </c>
      <c r="B417" s="3" t="str">
        <f>"201900200502"</f>
        <v>201900200502</v>
      </c>
      <c r="C417" s="3" t="str">
        <f>"17895"</f>
        <v>17895</v>
      </c>
      <c r="D417" s="3" t="s">
        <v>2451</v>
      </c>
      <c r="E417" s="3">
        <v>20487420337</v>
      </c>
      <c r="F417" s="3" t="s">
        <v>2452</v>
      </c>
      <c r="G417" s="3" t="s">
        <v>2453</v>
      </c>
      <c r="H417" s="3" t="s">
        <v>36</v>
      </c>
      <c r="I417" s="3" t="s">
        <v>409</v>
      </c>
      <c r="J417" s="3" t="s">
        <v>738</v>
      </c>
      <c r="K417" s="3" t="s">
        <v>37</v>
      </c>
      <c r="L417" s="3" t="s">
        <v>102</v>
      </c>
      <c r="M417" s="3" t="s">
        <v>51</v>
      </c>
      <c r="N417" s="3" t="s">
        <v>2454</v>
      </c>
      <c r="O417" s="3" t="s">
        <v>76</v>
      </c>
      <c r="P417" s="3" t="s">
        <v>78</v>
      </c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>
        <v>14700</v>
      </c>
      <c r="AB417" s="3">
        <v>3200</v>
      </c>
      <c r="AC417" s="4">
        <v>43808</v>
      </c>
      <c r="AD417" s="3" t="s">
        <v>42</v>
      </c>
      <c r="AE417" s="3" t="s">
        <v>2455</v>
      </c>
      <c r="AF417" s="3">
        <v>0</v>
      </c>
    </row>
    <row r="418" spans="1:32" ht="27.95" x14ac:dyDescent="0.3">
      <c r="A418" s="5">
        <v>412</v>
      </c>
      <c r="B418" s="5" t="str">
        <f>"201900024482"</f>
        <v>201900024482</v>
      </c>
      <c r="C418" s="5" t="str">
        <f>"7164"</f>
        <v>7164</v>
      </c>
      <c r="D418" s="5" t="s">
        <v>2456</v>
      </c>
      <c r="E418" s="5">
        <v>20486449617</v>
      </c>
      <c r="F418" s="5" t="s">
        <v>2457</v>
      </c>
      <c r="G418" s="5" t="s">
        <v>2458</v>
      </c>
      <c r="H418" s="5" t="s">
        <v>532</v>
      </c>
      <c r="I418" s="5" t="s">
        <v>714</v>
      </c>
      <c r="J418" s="5" t="s">
        <v>714</v>
      </c>
      <c r="K418" s="5" t="s">
        <v>37</v>
      </c>
      <c r="L418" s="5" t="s">
        <v>2459</v>
      </c>
      <c r="M418" s="5" t="s">
        <v>161</v>
      </c>
      <c r="N418" s="5" t="s">
        <v>63</v>
      </c>
      <c r="O418" s="5" t="s">
        <v>94</v>
      </c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>
        <v>18000</v>
      </c>
      <c r="AB418" s="5">
        <v>5000</v>
      </c>
      <c r="AC418" s="6">
        <v>43516</v>
      </c>
      <c r="AD418" s="5" t="s">
        <v>42</v>
      </c>
      <c r="AE418" s="5" t="s">
        <v>2460</v>
      </c>
      <c r="AF418" s="5">
        <v>720</v>
      </c>
    </row>
    <row r="419" spans="1:32" x14ac:dyDescent="0.3">
      <c r="A419" s="3">
        <v>413</v>
      </c>
      <c r="B419" s="3" t="str">
        <f>"201900019487"</f>
        <v>201900019487</v>
      </c>
      <c r="C419" s="3" t="str">
        <f>"19849"</f>
        <v>19849</v>
      </c>
      <c r="D419" s="3" t="s">
        <v>2461</v>
      </c>
      <c r="E419" s="3">
        <v>20454688440</v>
      </c>
      <c r="F419" s="3" t="s">
        <v>2462</v>
      </c>
      <c r="G419" s="3" t="s">
        <v>2463</v>
      </c>
      <c r="H419" s="3" t="s">
        <v>89</v>
      </c>
      <c r="I419" s="3" t="s">
        <v>89</v>
      </c>
      <c r="J419" s="3" t="s">
        <v>2464</v>
      </c>
      <c r="K419" s="3" t="s">
        <v>37</v>
      </c>
      <c r="L419" s="3" t="s">
        <v>72</v>
      </c>
      <c r="M419" s="3" t="s">
        <v>171</v>
      </c>
      <c r="N419" s="3" t="s">
        <v>65</v>
      </c>
      <c r="O419" s="3" t="s">
        <v>61</v>
      </c>
      <c r="P419" s="3" t="s">
        <v>248</v>
      </c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>
        <v>24000</v>
      </c>
      <c r="AB419" s="3">
        <v>3000</v>
      </c>
      <c r="AC419" s="4">
        <v>43504</v>
      </c>
      <c r="AD419" s="3" t="s">
        <v>42</v>
      </c>
      <c r="AE419" s="3" t="s">
        <v>2465</v>
      </c>
      <c r="AF419" s="3">
        <v>0</v>
      </c>
    </row>
    <row r="420" spans="1:32" ht="27.95" x14ac:dyDescent="0.3">
      <c r="A420" s="5">
        <v>414</v>
      </c>
      <c r="B420" s="5" t="str">
        <f>"201900038649"</f>
        <v>201900038649</v>
      </c>
      <c r="C420" s="5" t="str">
        <f>"139803"</f>
        <v>139803</v>
      </c>
      <c r="D420" s="5" t="s">
        <v>2466</v>
      </c>
      <c r="E420" s="5">
        <v>20602208479</v>
      </c>
      <c r="F420" s="5" t="s">
        <v>2467</v>
      </c>
      <c r="G420" s="5" t="s">
        <v>2468</v>
      </c>
      <c r="H420" s="5" t="s">
        <v>47</v>
      </c>
      <c r="I420" s="5" t="s">
        <v>159</v>
      </c>
      <c r="J420" s="5" t="s">
        <v>2469</v>
      </c>
      <c r="K420" s="5" t="s">
        <v>37</v>
      </c>
      <c r="L420" s="5" t="s">
        <v>72</v>
      </c>
      <c r="M420" s="5" t="s">
        <v>2470</v>
      </c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>
        <v>16000</v>
      </c>
      <c r="AB420" s="5">
        <v>5000</v>
      </c>
      <c r="AC420" s="6">
        <v>43535</v>
      </c>
      <c r="AD420" s="5" t="s">
        <v>42</v>
      </c>
      <c r="AE420" s="5" t="s">
        <v>2471</v>
      </c>
      <c r="AF420" s="5">
        <v>0</v>
      </c>
    </row>
    <row r="421" spans="1:32" ht="41.95" x14ac:dyDescent="0.3">
      <c r="A421" s="3">
        <v>415</v>
      </c>
      <c r="B421" s="3" t="str">
        <f>"201900203976"</f>
        <v>201900203976</v>
      </c>
      <c r="C421" s="3" t="str">
        <f>"110414"</f>
        <v>110414</v>
      </c>
      <c r="D421" s="3" t="s">
        <v>2472</v>
      </c>
      <c r="E421" s="3">
        <v>20127765279</v>
      </c>
      <c r="F421" s="3" t="s">
        <v>1115</v>
      </c>
      <c r="G421" s="3" t="s">
        <v>2473</v>
      </c>
      <c r="H421" s="3" t="s">
        <v>116</v>
      </c>
      <c r="I421" s="3" t="s">
        <v>339</v>
      </c>
      <c r="J421" s="3" t="s">
        <v>612</v>
      </c>
      <c r="K421" s="3" t="s">
        <v>37</v>
      </c>
      <c r="L421" s="3" t="s">
        <v>52</v>
      </c>
      <c r="M421" s="3" t="s">
        <v>2003</v>
      </c>
      <c r="N421" s="3" t="s">
        <v>2474</v>
      </c>
      <c r="O421" s="3" t="s">
        <v>103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>
        <v>20000</v>
      </c>
      <c r="AB421" s="3">
        <v>2500</v>
      </c>
      <c r="AC421" s="4">
        <v>43815</v>
      </c>
      <c r="AD421" s="3" t="s">
        <v>42</v>
      </c>
      <c r="AE421" s="3" t="s">
        <v>279</v>
      </c>
      <c r="AF421" s="3">
        <v>720</v>
      </c>
    </row>
    <row r="422" spans="1:32" ht="27.95" x14ac:dyDescent="0.3">
      <c r="A422" s="5">
        <v>416</v>
      </c>
      <c r="B422" s="5" t="str">
        <f>"201200162648"</f>
        <v>201200162648</v>
      </c>
      <c r="C422" s="5" t="str">
        <f>"84478"</f>
        <v>84478</v>
      </c>
      <c r="D422" s="5" t="s">
        <v>2475</v>
      </c>
      <c r="E422" s="5">
        <v>20100202396</v>
      </c>
      <c r="F422" s="5" t="s">
        <v>1645</v>
      </c>
      <c r="G422" s="5" t="s">
        <v>2476</v>
      </c>
      <c r="H422" s="5" t="s">
        <v>89</v>
      </c>
      <c r="I422" s="5" t="s">
        <v>89</v>
      </c>
      <c r="J422" s="5" t="s">
        <v>485</v>
      </c>
      <c r="K422" s="5" t="s">
        <v>37</v>
      </c>
      <c r="L422" s="5" t="s">
        <v>63</v>
      </c>
      <c r="M422" s="5" t="s">
        <v>2477</v>
      </c>
      <c r="N422" s="5" t="s">
        <v>2478</v>
      </c>
      <c r="O422" s="5" t="s">
        <v>248</v>
      </c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>
        <v>18000</v>
      </c>
      <c r="AB422" s="5">
        <v>3000</v>
      </c>
      <c r="AC422" s="6">
        <v>41150</v>
      </c>
      <c r="AD422" s="5" t="s">
        <v>42</v>
      </c>
      <c r="AE422" s="5" t="s">
        <v>2479</v>
      </c>
      <c r="AF422" s="5">
        <v>0</v>
      </c>
    </row>
    <row r="423" spans="1:32" ht="27.95" x14ac:dyDescent="0.3">
      <c r="A423" s="3">
        <v>417</v>
      </c>
      <c r="B423" s="3" t="str">
        <f>"202000136510"</f>
        <v>202000136510</v>
      </c>
      <c r="C423" s="3" t="str">
        <f>"19988"</f>
        <v>19988</v>
      </c>
      <c r="D423" s="3" t="s">
        <v>2480</v>
      </c>
      <c r="E423" s="3">
        <v>20505499761</v>
      </c>
      <c r="F423" s="3" t="s">
        <v>2481</v>
      </c>
      <c r="G423" s="3" t="s">
        <v>2482</v>
      </c>
      <c r="H423" s="3" t="s">
        <v>58</v>
      </c>
      <c r="I423" s="3" t="s">
        <v>58</v>
      </c>
      <c r="J423" s="3" t="s">
        <v>2483</v>
      </c>
      <c r="K423" s="3" t="s">
        <v>37</v>
      </c>
      <c r="L423" s="3" t="s">
        <v>63</v>
      </c>
      <c r="M423" s="3" t="s">
        <v>50</v>
      </c>
      <c r="N423" s="3" t="s">
        <v>51</v>
      </c>
      <c r="O423" s="3" t="s">
        <v>65</v>
      </c>
      <c r="P423" s="3" t="s">
        <v>120</v>
      </c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>
        <v>20000</v>
      </c>
      <c r="AB423" s="3">
        <v>3500</v>
      </c>
      <c r="AC423" s="4">
        <v>44126</v>
      </c>
      <c r="AD423" s="3" t="s">
        <v>42</v>
      </c>
      <c r="AE423" s="3" t="s">
        <v>2484</v>
      </c>
      <c r="AF423" s="3">
        <v>120</v>
      </c>
    </row>
    <row r="424" spans="1:32" x14ac:dyDescent="0.3">
      <c r="A424" s="5">
        <v>418</v>
      </c>
      <c r="B424" s="5" t="str">
        <f>"201900203979"</f>
        <v>201900203979</v>
      </c>
      <c r="C424" s="5" t="str">
        <f>"33329"</f>
        <v>33329</v>
      </c>
      <c r="D424" s="5" t="s">
        <v>2485</v>
      </c>
      <c r="E424" s="5">
        <v>20127765279</v>
      </c>
      <c r="F424" s="5" t="s">
        <v>1115</v>
      </c>
      <c r="G424" s="5" t="s">
        <v>2486</v>
      </c>
      <c r="H424" s="5" t="s">
        <v>58</v>
      </c>
      <c r="I424" s="5" t="s">
        <v>554</v>
      </c>
      <c r="J424" s="5" t="s">
        <v>554</v>
      </c>
      <c r="K424" s="5" t="s">
        <v>37</v>
      </c>
      <c r="L424" s="5" t="s">
        <v>2487</v>
      </c>
      <c r="M424" s="5" t="s">
        <v>2488</v>
      </c>
      <c r="N424" s="5" t="s">
        <v>2489</v>
      </c>
      <c r="O424" s="5" t="s">
        <v>2490</v>
      </c>
      <c r="P424" s="5" t="s">
        <v>120</v>
      </c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>
        <v>19700</v>
      </c>
      <c r="AB424" s="5">
        <v>3500</v>
      </c>
      <c r="AC424" s="6">
        <v>43811</v>
      </c>
      <c r="AD424" s="5" t="s">
        <v>42</v>
      </c>
      <c r="AE424" s="5" t="s">
        <v>279</v>
      </c>
      <c r="AF424" s="5">
        <v>720</v>
      </c>
    </row>
    <row r="425" spans="1:32" ht="27.95" x14ac:dyDescent="0.3">
      <c r="A425" s="3">
        <v>419</v>
      </c>
      <c r="B425" s="3" t="str">
        <f>"201700165310"</f>
        <v>201700165310</v>
      </c>
      <c r="C425" s="3" t="str">
        <f>"61136"</f>
        <v>61136</v>
      </c>
      <c r="D425" s="3" t="s">
        <v>2491</v>
      </c>
      <c r="E425" s="3">
        <v>20601770475</v>
      </c>
      <c r="F425" s="3" t="s">
        <v>2492</v>
      </c>
      <c r="G425" s="3" t="s">
        <v>2493</v>
      </c>
      <c r="H425" s="3" t="s">
        <v>58</v>
      </c>
      <c r="I425" s="3" t="s">
        <v>58</v>
      </c>
      <c r="J425" s="3" t="s">
        <v>2494</v>
      </c>
      <c r="K425" s="3" t="s">
        <v>37</v>
      </c>
      <c r="L425" s="3" t="s">
        <v>1474</v>
      </c>
      <c r="M425" s="3" t="s">
        <v>1255</v>
      </c>
      <c r="N425" s="3" t="s">
        <v>248</v>
      </c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>
        <v>16000</v>
      </c>
      <c r="AB425" s="3">
        <v>3000</v>
      </c>
      <c r="AC425" s="4">
        <v>43021</v>
      </c>
      <c r="AD425" s="3" t="s">
        <v>42</v>
      </c>
      <c r="AE425" s="3" t="s">
        <v>1815</v>
      </c>
      <c r="AF425" s="3">
        <v>0</v>
      </c>
    </row>
    <row r="426" spans="1:32" ht="27.95" x14ac:dyDescent="0.3">
      <c r="A426" s="5">
        <v>420</v>
      </c>
      <c r="B426" s="5" t="str">
        <f>"201900203973"</f>
        <v>201900203973</v>
      </c>
      <c r="C426" s="5" t="str">
        <f>"15196"</f>
        <v>15196</v>
      </c>
      <c r="D426" s="5" t="s">
        <v>2495</v>
      </c>
      <c r="E426" s="5">
        <v>20330033313</v>
      </c>
      <c r="F426" s="5" t="s">
        <v>1115</v>
      </c>
      <c r="G426" s="5" t="s">
        <v>2496</v>
      </c>
      <c r="H426" s="5" t="s">
        <v>58</v>
      </c>
      <c r="I426" s="5" t="s">
        <v>1108</v>
      </c>
      <c r="J426" s="5" t="s">
        <v>2405</v>
      </c>
      <c r="K426" s="5" t="s">
        <v>37</v>
      </c>
      <c r="L426" s="5" t="s">
        <v>2497</v>
      </c>
      <c r="M426" s="5" t="s">
        <v>2498</v>
      </c>
      <c r="N426" s="5" t="s">
        <v>2499</v>
      </c>
      <c r="O426" s="5" t="s">
        <v>775</v>
      </c>
      <c r="P426" s="5" t="s">
        <v>922</v>
      </c>
      <c r="Q426" s="5" t="s">
        <v>103</v>
      </c>
      <c r="R426" s="5"/>
      <c r="S426" s="5"/>
      <c r="T426" s="5"/>
      <c r="U426" s="5"/>
      <c r="V426" s="5"/>
      <c r="W426" s="5"/>
      <c r="X426" s="5"/>
      <c r="Y426" s="5"/>
      <c r="Z426" s="5"/>
      <c r="AA426" s="5">
        <v>37200</v>
      </c>
      <c r="AB426" s="5">
        <v>2500</v>
      </c>
      <c r="AC426" s="6">
        <v>43810</v>
      </c>
      <c r="AD426" s="5" t="s">
        <v>42</v>
      </c>
      <c r="AE426" s="5" t="s">
        <v>279</v>
      </c>
      <c r="AF426" s="5">
        <v>0</v>
      </c>
    </row>
    <row r="427" spans="1:32" ht="27.95" x14ac:dyDescent="0.3">
      <c r="A427" s="3">
        <v>421</v>
      </c>
      <c r="B427" s="3" t="str">
        <f>"202000055712"</f>
        <v>202000055712</v>
      </c>
      <c r="C427" s="3" t="str">
        <f>"45698"</f>
        <v>45698</v>
      </c>
      <c r="D427" s="3" t="s">
        <v>2500</v>
      </c>
      <c r="E427" s="3">
        <v>20601797471</v>
      </c>
      <c r="F427" s="3" t="s">
        <v>2501</v>
      </c>
      <c r="G427" s="3" t="s">
        <v>2502</v>
      </c>
      <c r="H427" s="3" t="s">
        <v>999</v>
      </c>
      <c r="I427" s="3" t="s">
        <v>999</v>
      </c>
      <c r="J427" s="3" t="s">
        <v>999</v>
      </c>
      <c r="K427" s="3" t="s">
        <v>37</v>
      </c>
      <c r="L427" s="3" t="s">
        <v>2503</v>
      </c>
      <c r="M427" s="3" t="s">
        <v>2504</v>
      </c>
      <c r="N427" s="3" t="s">
        <v>381</v>
      </c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>
        <v>10100</v>
      </c>
      <c r="AB427" s="3">
        <v>2000</v>
      </c>
      <c r="AC427" s="4">
        <v>43966</v>
      </c>
      <c r="AD427" s="3" t="s">
        <v>42</v>
      </c>
      <c r="AE427" s="3" t="s">
        <v>2505</v>
      </c>
      <c r="AF427" s="3">
        <v>720</v>
      </c>
    </row>
    <row r="428" spans="1:32" ht="27.95" x14ac:dyDescent="0.3">
      <c r="A428" s="5">
        <v>422</v>
      </c>
      <c r="B428" s="5" t="str">
        <f>"202000125164"</f>
        <v>202000125164</v>
      </c>
      <c r="C428" s="5" t="str">
        <f>"21148"</f>
        <v>21148</v>
      </c>
      <c r="D428" s="5" t="s">
        <v>2506</v>
      </c>
      <c r="E428" s="5">
        <v>20129917891</v>
      </c>
      <c r="F428" s="5" t="s">
        <v>2507</v>
      </c>
      <c r="G428" s="5" t="s">
        <v>2508</v>
      </c>
      <c r="H428" s="5" t="s">
        <v>89</v>
      </c>
      <c r="I428" s="5" t="s">
        <v>2084</v>
      </c>
      <c r="J428" s="5" t="s">
        <v>2084</v>
      </c>
      <c r="K428" s="5" t="s">
        <v>37</v>
      </c>
      <c r="L428" s="5" t="s">
        <v>76</v>
      </c>
      <c r="M428" s="5" t="s">
        <v>285</v>
      </c>
      <c r="N428" s="5" t="s">
        <v>172</v>
      </c>
      <c r="O428" s="5" t="s">
        <v>172</v>
      </c>
      <c r="P428" s="5" t="s">
        <v>51</v>
      </c>
      <c r="Q428" s="5" t="s">
        <v>94</v>
      </c>
      <c r="R428" s="5"/>
      <c r="S428" s="5"/>
      <c r="T428" s="5"/>
      <c r="U428" s="5"/>
      <c r="V428" s="5"/>
      <c r="W428" s="5"/>
      <c r="X428" s="5"/>
      <c r="Y428" s="5"/>
      <c r="Z428" s="5"/>
      <c r="AA428" s="5">
        <v>19000</v>
      </c>
      <c r="AB428" s="5">
        <v>5000</v>
      </c>
      <c r="AC428" s="6">
        <v>44115</v>
      </c>
      <c r="AD428" s="5" t="s">
        <v>42</v>
      </c>
      <c r="AE428" s="5" t="s">
        <v>2509</v>
      </c>
      <c r="AF428" s="5">
        <v>0</v>
      </c>
    </row>
    <row r="429" spans="1:32" ht="41.95" x14ac:dyDescent="0.3">
      <c r="A429" s="3">
        <v>423</v>
      </c>
      <c r="B429" s="3" t="str">
        <f>"201900013866"</f>
        <v>201900013866</v>
      </c>
      <c r="C429" s="3" t="str">
        <f>"31653"</f>
        <v>31653</v>
      </c>
      <c r="D429" s="3" t="s">
        <v>2510</v>
      </c>
      <c r="E429" s="3">
        <v>20410312396</v>
      </c>
      <c r="F429" s="3" t="s">
        <v>2511</v>
      </c>
      <c r="G429" s="3" t="s">
        <v>2512</v>
      </c>
      <c r="H429" s="3" t="s">
        <v>47</v>
      </c>
      <c r="I429" s="3" t="s">
        <v>47</v>
      </c>
      <c r="J429" s="3" t="s">
        <v>170</v>
      </c>
      <c r="K429" s="3" t="s">
        <v>37</v>
      </c>
      <c r="L429" s="3" t="s">
        <v>387</v>
      </c>
      <c r="M429" s="3" t="s">
        <v>387</v>
      </c>
      <c r="N429" s="3" t="s">
        <v>2513</v>
      </c>
      <c r="O429" s="3" t="s">
        <v>2514</v>
      </c>
      <c r="P429" s="3" t="s">
        <v>2515</v>
      </c>
      <c r="Q429" s="3" t="s">
        <v>2515</v>
      </c>
      <c r="R429" s="3" t="s">
        <v>2515</v>
      </c>
      <c r="S429" s="3" t="s">
        <v>2514</v>
      </c>
      <c r="T429" s="3"/>
      <c r="U429" s="3"/>
      <c r="V429" s="3"/>
      <c r="W429" s="3"/>
      <c r="X429" s="3"/>
      <c r="Y429" s="3"/>
      <c r="Z429" s="3"/>
      <c r="AA429" s="3">
        <v>59670</v>
      </c>
      <c r="AB429" s="3">
        <v>3000</v>
      </c>
      <c r="AC429" s="4">
        <v>43497</v>
      </c>
      <c r="AD429" s="3" t="s">
        <v>42</v>
      </c>
      <c r="AE429" s="3" t="s">
        <v>2516</v>
      </c>
      <c r="AF429" s="3">
        <v>0</v>
      </c>
    </row>
    <row r="430" spans="1:32" x14ac:dyDescent="0.3">
      <c r="A430" s="5">
        <v>424</v>
      </c>
      <c r="B430" s="5" t="str">
        <f>"201800166528"</f>
        <v>201800166528</v>
      </c>
      <c r="C430" s="5" t="str">
        <f>"7494"</f>
        <v>7494</v>
      </c>
      <c r="D430" s="5" t="s">
        <v>2517</v>
      </c>
      <c r="E430" s="5">
        <v>20502794052</v>
      </c>
      <c r="F430" s="5" t="s">
        <v>2139</v>
      </c>
      <c r="G430" s="5" t="s">
        <v>2518</v>
      </c>
      <c r="H430" s="5" t="s">
        <v>219</v>
      </c>
      <c r="I430" s="5" t="s">
        <v>220</v>
      </c>
      <c r="J430" s="5" t="s">
        <v>220</v>
      </c>
      <c r="K430" s="5" t="s">
        <v>37</v>
      </c>
      <c r="L430" s="5" t="s">
        <v>2519</v>
      </c>
      <c r="M430" s="5" t="s">
        <v>929</v>
      </c>
      <c r="N430" s="5" t="s">
        <v>1844</v>
      </c>
      <c r="O430" s="5" t="s">
        <v>381</v>
      </c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>
        <v>16400</v>
      </c>
      <c r="AB430" s="5">
        <v>2000</v>
      </c>
      <c r="AC430" s="6">
        <v>43378</v>
      </c>
      <c r="AD430" s="5" t="s">
        <v>42</v>
      </c>
      <c r="AE430" s="5" t="s">
        <v>2205</v>
      </c>
      <c r="AF430" s="5">
        <v>0</v>
      </c>
    </row>
    <row r="431" spans="1:32" ht="27.95" x14ac:dyDescent="0.3">
      <c r="A431" s="3">
        <v>425</v>
      </c>
      <c r="B431" s="3" t="str">
        <f>"201900156859"</f>
        <v>201900156859</v>
      </c>
      <c r="C431" s="3" t="str">
        <f>"145990"</f>
        <v>145990</v>
      </c>
      <c r="D431" s="3" t="s">
        <v>2520</v>
      </c>
      <c r="E431" s="3">
        <v>20604082693</v>
      </c>
      <c r="F431" s="3" t="s">
        <v>2521</v>
      </c>
      <c r="G431" s="3" t="s">
        <v>2522</v>
      </c>
      <c r="H431" s="3" t="s">
        <v>125</v>
      </c>
      <c r="I431" s="3" t="s">
        <v>125</v>
      </c>
      <c r="J431" s="3" t="s">
        <v>1381</v>
      </c>
      <c r="K431" s="3" t="s">
        <v>37</v>
      </c>
      <c r="L431" s="3" t="s">
        <v>166</v>
      </c>
      <c r="M431" s="3" t="s">
        <v>166</v>
      </c>
      <c r="N431" s="3" t="s">
        <v>2523</v>
      </c>
      <c r="O431" s="3" t="s">
        <v>41</v>
      </c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>
        <v>30000</v>
      </c>
      <c r="AB431" s="3">
        <v>10000</v>
      </c>
      <c r="AC431" s="4">
        <v>43735</v>
      </c>
      <c r="AD431" s="3" t="s">
        <v>42</v>
      </c>
      <c r="AE431" s="3" t="s">
        <v>2524</v>
      </c>
      <c r="AF431" s="3">
        <v>0</v>
      </c>
    </row>
    <row r="432" spans="1:32" ht="27.95" x14ac:dyDescent="0.3">
      <c r="A432" s="5">
        <v>426</v>
      </c>
      <c r="B432" s="5" t="str">
        <f>"201700145101"</f>
        <v>201700145101</v>
      </c>
      <c r="C432" s="5" t="str">
        <f>"18839"</f>
        <v>18839</v>
      </c>
      <c r="D432" s="5" t="s">
        <v>2525</v>
      </c>
      <c r="E432" s="5">
        <v>20573261829</v>
      </c>
      <c r="F432" s="5" t="s">
        <v>2526</v>
      </c>
      <c r="G432" s="5" t="s">
        <v>2527</v>
      </c>
      <c r="H432" s="5" t="s">
        <v>125</v>
      </c>
      <c r="I432" s="5" t="s">
        <v>125</v>
      </c>
      <c r="J432" s="5" t="s">
        <v>126</v>
      </c>
      <c r="K432" s="5" t="s">
        <v>37</v>
      </c>
      <c r="L432" s="5" t="s">
        <v>387</v>
      </c>
      <c r="M432" s="5" t="s">
        <v>2528</v>
      </c>
      <c r="N432" s="5" t="s">
        <v>161</v>
      </c>
      <c r="O432" s="5" t="s">
        <v>94</v>
      </c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>
        <v>24000</v>
      </c>
      <c r="AB432" s="5">
        <v>5000</v>
      </c>
      <c r="AC432" s="6">
        <v>42994</v>
      </c>
      <c r="AD432" s="5" t="s">
        <v>42</v>
      </c>
      <c r="AE432" s="5" t="s">
        <v>2529</v>
      </c>
      <c r="AF432" s="5">
        <v>0</v>
      </c>
    </row>
    <row r="433" spans="1:32" ht="27.95" x14ac:dyDescent="0.3">
      <c r="A433" s="3">
        <v>427</v>
      </c>
      <c r="B433" s="3" t="str">
        <f>"201400044405"</f>
        <v>201400044405</v>
      </c>
      <c r="C433" s="3" t="str">
        <f>"101850"</f>
        <v>101850</v>
      </c>
      <c r="D433" s="3" t="s">
        <v>2530</v>
      </c>
      <c r="E433" s="3">
        <v>20523469755</v>
      </c>
      <c r="F433" s="3" t="s">
        <v>2531</v>
      </c>
      <c r="G433" s="3" t="s">
        <v>2532</v>
      </c>
      <c r="H433" s="3" t="s">
        <v>58</v>
      </c>
      <c r="I433" s="3" t="s">
        <v>58</v>
      </c>
      <c r="J433" s="3" t="s">
        <v>1756</v>
      </c>
      <c r="K433" s="3" t="s">
        <v>37</v>
      </c>
      <c r="L433" s="3" t="s">
        <v>63</v>
      </c>
      <c r="M433" s="3" t="s">
        <v>2533</v>
      </c>
      <c r="N433" s="3" t="s">
        <v>103</v>
      </c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>
        <v>10900</v>
      </c>
      <c r="AB433" s="3">
        <v>2500</v>
      </c>
      <c r="AC433" s="4">
        <v>41747</v>
      </c>
      <c r="AD433" s="3" t="s">
        <v>42</v>
      </c>
      <c r="AE433" s="3" t="s">
        <v>2534</v>
      </c>
      <c r="AF433" s="3">
        <v>0</v>
      </c>
    </row>
    <row r="434" spans="1:32" ht="27.95" x14ac:dyDescent="0.3">
      <c r="A434" s="5">
        <v>428</v>
      </c>
      <c r="B434" s="5" t="str">
        <f>"202000017127"</f>
        <v>202000017127</v>
      </c>
      <c r="C434" s="5" t="str">
        <f>"117371"</f>
        <v>117371</v>
      </c>
      <c r="D434" s="5" t="s">
        <v>2535</v>
      </c>
      <c r="E434" s="5">
        <v>20573252595</v>
      </c>
      <c r="F434" s="5" t="s">
        <v>2536</v>
      </c>
      <c r="G434" s="5" t="s">
        <v>2537</v>
      </c>
      <c r="H434" s="5" t="s">
        <v>125</v>
      </c>
      <c r="I434" s="5" t="s">
        <v>2538</v>
      </c>
      <c r="J434" s="5" t="s">
        <v>2539</v>
      </c>
      <c r="K434" s="5" t="s">
        <v>37</v>
      </c>
      <c r="L434" s="5" t="s">
        <v>1163</v>
      </c>
      <c r="M434" s="5" t="s">
        <v>2118</v>
      </c>
      <c r="N434" s="5" t="s">
        <v>94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>
        <v>4000</v>
      </c>
      <c r="AB434" s="5">
        <v>5000</v>
      </c>
      <c r="AC434" s="6">
        <v>43864</v>
      </c>
      <c r="AD434" s="5" t="s">
        <v>42</v>
      </c>
      <c r="AE434" s="5" t="s">
        <v>2540</v>
      </c>
      <c r="AF434" s="5">
        <v>720</v>
      </c>
    </row>
    <row r="435" spans="1:32" ht="27.95" x14ac:dyDescent="0.3">
      <c r="A435" s="3">
        <v>429</v>
      </c>
      <c r="B435" s="3" t="str">
        <f>"201200163610"</f>
        <v>201200163610</v>
      </c>
      <c r="C435" s="3" t="str">
        <f>"96929"</f>
        <v>96929</v>
      </c>
      <c r="D435" s="3" t="s">
        <v>2541</v>
      </c>
      <c r="E435" s="3">
        <v>20494982171</v>
      </c>
      <c r="F435" s="3" t="s">
        <v>2542</v>
      </c>
      <c r="G435" s="3" t="s">
        <v>2543</v>
      </c>
      <c r="H435" s="3" t="s">
        <v>47</v>
      </c>
      <c r="I435" s="3" t="s">
        <v>1395</v>
      </c>
      <c r="J435" s="3" t="s">
        <v>1396</v>
      </c>
      <c r="K435" s="3" t="s">
        <v>37</v>
      </c>
      <c r="L435" s="3" t="s">
        <v>2544</v>
      </c>
      <c r="M435" s="3" t="s">
        <v>2544</v>
      </c>
      <c r="N435" s="3" t="s">
        <v>2545</v>
      </c>
      <c r="O435" s="3" t="s">
        <v>94</v>
      </c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>
        <v>23800</v>
      </c>
      <c r="AB435" s="3">
        <v>5000</v>
      </c>
      <c r="AC435" s="4">
        <v>41148</v>
      </c>
      <c r="AD435" s="3" t="s">
        <v>42</v>
      </c>
      <c r="AE435" s="3" t="s">
        <v>2546</v>
      </c>
      <c r="AF435" s="3">
        <v>0</v>
      </c>
    </row>
    <row r="436" spans="1:32" ht="27.95" x14ac:dyDescent="0.3">
      <c r="A436" s="5">
        <v>430</v>
      </c>
      <c r="B436" s="5" t="str">
        <f>"202000001286"</f>
        <v>202000001286</v>
      </c>
      <c r="C436" s="5" t="str">
        <f>"117288"</f>
        <v>117288</v>
      </c>
      <c r="D436" s="5" t="s">
        <v>2547</v>
      </c>
      <c r="E436" s="5">
        <v>20568943652</v>
      </c>
      <c r="F436" s="5" t="s">
        <v>2548</v>
      </c>
      <c r="G436" s="5" t="s">
        <v>2549</v>
      </c>
      <c r="H436" s="5" t="s">
        <v>450</v>
      </c>
      <c r="I436" s="5" t="s">
        <v>605</v>
      </c>
      <c r="J436" s="5" t="s">
        <v>2550</v>
      </c>
      <c r="K436" s="5" t="s">
        <v>37</v>
      </c>
      <c r="L436" s="5" t="s">
        <v>110</v>
      </c>
      <c r="M436" s="5" t="s">
        <v>110</v>
      </c>
      <c r="N436" s="5" t="s">
        <v>2551</v>
      </c>
      <c r="O436" s="5" t="s">
        <v>154</v>
      </c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>
        <v>19500</v>
      </c>
      <c r="AB436" s="5">
        <v>6000</v>
      </c>
      <c r="AC436" s="6">
        <v>43835</v>
      </c>
      <c r="AD436" s="5" t="s">
        <v>42</v>
      </c>
      <c r="AE436" s="5" t="s">
        <v>2552</v>
      </c>
      <c r="AF436" s="5">
        <v>180</v>
      </c>
    </row>
    <row r="437" spans="1:32" ht="27.95" x14ac:dyDescent="0.3">
      <c r="A437" s="3">
        <v>431</v>
      </c>
      <c r="B437" s="3" t="str">
        <f>"201700141642"</f>
        <v>201700141642</v>
      </c>
      <c r="C437" s="3" t="str">
        <f>"131000"</f>
        <v>131000</v>
      </c>
      <c r="D437" s="3" t="s">
        <v>2553</v>
      </c>
      <c r="E437" s="3">
        <v>20600729986</v>
      </c>
      <c r="F437" s="3" t="s">
        <v>2554</v>
      </c>
      <c r="G437" s="3" t="s">
        <v>2555</v>
      </c>
      <c r="H437" s="3" t="s">
        <v>116</v>
      </c>
      <c r="I437" s="3" t="s">
        <v>2324</v>
      </c>
      <c r="J437" s="3" t="s">
        <v>2372</v>
      </c>
      <c r="K437" s="3" t="s">
        <v>37</v>
      </c>
      <c r="L437" s="3" t="s">
        <v>557</v>
      </c>
      <c r="M437" s="3" t="s">
        <v>2556</v>
      </c>
      <c r="N437" s="3" t="s">
        <v>2557</v>
      </c>
      <c r="O437" s="3" t="s">
        <v>78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>
        <v>21000</v>
      </c>
      <c r="AB437" s="3">
        <v>3200</v>
      </c>
      <c r="AC437" s="4">
        <v>42984</v>
      </c>
      <c r="AD437" s="3" t="s">
        <v>42</v>
      </c>
      <c r="AE437" s="3" t="s">
        <v>2558</v>
      </c>
      <c r="AF437" s="3">
        <v>0</v>
      </c>
    </row>
    <row r="438" spans="1:32" ht="27.95" x14ac:dyDescent="0.3">
      <c r="A438" s="5">
        <v>432</v>
      </c>
      <c r="B438" s="5" t="str">
        <f>"201600058830"</f>
        <v>201600058830</v>
      </c>
      <c r="C438" s="5" t="str">
        <f>"16439"</f>
        <v>16439</v>
      </c>
      <c r="D438" s="5" t="s">
        <v>2559</v>
      </c>
      <c r="E438" s="5">
        <v>20502716761</v>
      </c>
      <c r="F438" s="5" t="s">
        <v>2560</v>
      </c>
      <c r="G438" s="5" t="s">
        <v>2561</v>
      </c>
      <c r="H438" s="5" t="s">
        <v>58</v>
      </c>
      <c r="I438" s="5" t="s">
        <v>58</v>
      </c>
      <c r="J438" s="5" t="s">
        <v>2562</v>
      </c>
      <c r="K438" s="5" t="s">
        <v>37</v>
      </c>
      <c r="L438" s="5" t="s">
        <v>172</v>
      </c>
      <c r="M438" s="5" t="s">
        <v>1969</v>
      </c>
      <c r="N438" s="5" t="s">
        <v>297</v>
      </c>
      <c r="O438" s="5" t="s">
        <v>347</v>
      </c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>
        <v>12000</v>
      </c>
      <c r="AB438" s="5">
        <v>3100</v>
      </c>
      <c r="AC438" s="6">
        <v>42513</v>
      </c>
      <c r="AD438" s="5" t="s">
        <v>42</v>
      </c>
      <c r="AE438" s="5" t="s">
        <v>2563</v>
      </c>
      <c r="AF438" s="5">
        <v>0</v>
      </c>
    </row>
    <row r="439" spans="1:32" ht="27.95" x14ac:dyDescent="0.3">
      <c r="A439" s="3">
        <v>433</v>
      </c>
      <c r="B439" s="3" t="str">
        <f>"202000083002"</f>
        <v>202000083002</v>
      </c>
      <c r="C439" s="3" t="str">
        <f>"107394"</f>
        <v>107394</v>
      </c>
      <c r="D439" s="3" t="s">
        <v>2564</v>
      </c>
      <c r="E439" s="3">
        <v>10410828184</v>
      </c>
      <c r="F439" s="3" t="s">
        <v>601</v>
      </c>
      <c r="G439" s="3" t="s">
        <v>2565</v>
      </c>
      <c r="H439" s="3" t="s">
        <v>108</v>
      </c>
      <c r="I439" s="3" t="s">
        <v>598</v>
      </c>
      <c r="J439" s="3" t="s">
        <v>1750</v>
      </c>
      <c r="K439" s="3" t="s">
        <v>37</v>
      </c>
      <c r="L439" s="3" t="s">
        <v>1092</v>
      </c>
      <c r="M439" s="3" t="s">
        <v>2566</v>
      </c>
      <c r="N439" s="3" t="s">
        <v>78</v>
      </c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>
        <v>20000</v>
      </c>
      <c r="AB439" s="3">
        <v>3200</v>
      </c>
      <c r="AC439" s="4">
        <v>44029</v>
      </c>
      <c r="AD439" s="4">
        <v>44394</v>
      </c>
      <c r="AE439" s="3" t="s">
        <v>601</v>
      </c>
      <c r="AF439" s="3">
        <v>0</v>
      </c>
    </row>
    <row r="440" spans="1:32" ht="27.95" x14ac:dyDescent="0.3">
      <c r="A440" s="5">
        <v>434</v>
      </c>
      <c r="B440" s="5" t="str">
        <f>"202000054876"</f>
        <v>202000054876</v>
      </c>
      <c r="C440" s="5" t="str">
        <f>"119602"</f>
        <v>119602</v>
      </c>
      <c r="D440" s="5" t="s">
        <v>2567</v>
      </c>
      <c r="E440" s="5">
        <v>20530268773</v>
      </c>
      <c r="F440" s="5" t="s">
        <v>2568</v>
      </c>
      <c r="G440" s="5" t="s">
        <v>2569</v>
      </c>
      <c r="H440" s="5" t="s">
        <v>187</v>
      </c>
      <c r="I440" s="5" t="s">
        <v>2570</v>
      </c>
      <c r="J440" s="5" t="s">
        <v>2571</v>
      </c>
      <c r="K440" s="5" t="s">
        <v>37</v>
      </c>
      <c r="L440" s="5" t="s">
        <v>102</v>
      </c>
      <c r="M440" s="5" t="s">
        <v>1367</v>
      </c>
      <c r="N440" s="5" t="s">
        <v>1495</v>
      </c>
      <c r="O440" s="5" t="s">
        <v>248</v>
      </c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>
        <v>13000</v>
      </c>
      <c r="AB440" s="5">
        <v>3000</v>
      </c>
      <c r="AC440" s="6">
        <v>43958</v>
      </c>
      <c r="AD440" s="5" t="s">
        <v>42</v>
      </c>
      <c r="AE440" s="5" t="s">
        <v>2572</v>
      </c>
      <c r="AF440" s="5">
        <v>0</v>
      </c>
    </row>
    <row r="441" spans="1:32" ht="27.95" x14ac:dyDescent="0.3">
      <c r="A441" s="3">
        <v>435</v>
      </c>
      <c r="B441" s="3" t="str">
        <f>"201700222680"</f>
        <v>201700222680</v>
      </c>
      <c r="C441" s="3" t="str">
        <f>"133786"</f>
        <v>133786</v>
      </c>
      <c r="D441" s="3" t="s">
        <v>2573</v>
      </c>
      <c r="E441" s="3">
        <v>20601703450</v>
      </c>
      <c r="F441" s="3" t="s">
        <v>2574</v>
      </c>
      <c r="G441" s="3" t="s">
        <v>2575</v>
      </c>
      <c r="H441" s="3" t="s">
        <v>219</v>
      </c>
      <c r="I441" s="3" t="s">
        <v>220</v>
      </c>
      <c r="J441" s="3" t="s">
        <v>908</v>
      </c>
      <c r="K441" s="3" t="s">
        <v>37</v>
      </c>
      <c r="L441" s="3" t="s">
        <v>110</v>
      </c>
      <c r="M441" s="3" t="s">
        <v>2347</v>
      </c>
      <c r="N441" s="3" t="s">
        <v>2112</v>
      </c>
      <c r="O441" s="3" t="s">
        <v>278</v>
      </c>
      <c r="P441" s="3" t="s">
        <v>94</v>
      </c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>
        <v>19500</v>
      </c>
      <c r="AB441" s="3">
        <v>5000</v>
      </c>
      <c r="AC441" s="4">
        <v>43112</v>
      </c>
      <c r="AD441" s="3" t="s">
        <v>42</v>
      </c>
      <c r="AE441" s="3" t="s">
        <v>2576</v>
      </c>
      <c r="AF441" s="3">
        <v>0</v>
      </c>
    </row>
    <row r="442" spans="1:32" x14ac:dyDescent="0.3">
      <c r="A442" s="5">
        <v>436</v>
      </c>
      <c r="B442" s="5" t="str">
        <f>"201900208774"</f>
        <v>201900208774</v>
      </c>
      <c r="C442" s="5" t="str">
        <f>"8857"</f>
        <v>8857</v>
      </c>
      <c r="D442" s="5" t="s">
        <v>2577</v>
      </c>
      <c r="E442" s="5">
        <v>20495368107</v>
      </c>
      <c r="F442" s="5" t="s">
        <v>817</v>
      </c>
      <c r="G442" s="5" t="s">
        <v>2578</v>
      </c>
      <c r="H442" s="5" t="s">
        <v>656</v>
      </c>
      <c r="I442" s="5" t="s">
        <v>656</v>
      </c>
      <c r="J442" s="5" t="s">
        <v>656</v>
      </c>
      <c r="K442" s="5" t="s">
        <v>37</v>
      </c>
      <c r="L442" s="5" t="s">
        <v>278</v>
      </c>
      <c r="M442" s="5" t="s">
        <v>314</v>
      </c>
      <c r="N442" s="5" t="s">
        <v>2579</v>
      </c>
      <c r="O442" s="5" t="s">
        <v>1530</v>
      </c>
      <c r="P442" s="5" t="s">
        <v>2580</v>
      </c>
      <c r="Q442" s="5" t="s">
        <v>103</v>
      </c>
      <c r="R442" s="5"/>
      <c r="S442" s="5"/>
      <c r="T442" s="5"/>
      <c r="U442" s="5"/>
      <c r="V442" s="5"/>
      <c r="W442" s="5"/>
      <c r="X442" s="5"/>
      <c r="Y442" s="5"/>
      <c r="Z442" s="5"/>
      <c r="AA442" s="5">
        <v>19700</v>
      </c>
      <c r="AB442" s="5">
        <v>2500</v>
      </c>
      <c r="AC442" s="6">
        <v>43815</v>
      </c>
      <c r="AD442" s="5" t="s">
        <v>42</v>
      </c>
      <c r="AE442" s="5" t="s">
        <v>720</v>
      </c>
      <c r="AF442" s="5">
        <v>240</v>
      </c>
    </row>
    <row r="443" spans="1:32" ht="27.95" x14ac:dyDescent="0.3">
      <c r="A443" s="3">
        <v>437</v>
      </c>
      <c r="B443" s="3" t="str">
        <f>"201900183153"</f>
        <v>201900183153</v>
      </c>
      <c r="C443" s="3" t="str">
        <f>"85148"</f>
        <v>85148</v>
      </c>
      <c r="D443" s="3" t="s">
        <v>2581</v>
      </c>
      <c r="E443" s="3">
        <v>20489713269</v>
      </c>
      <c r="F443" s="3" t="s">
        <v>2582</v>
      </c>
      <c r="G443" s="3" t="s">
        <v>2583</v>
      </c>
      <c r="H443" s="3" t="s">
        <v>125</v>
      </c>
      <c r="I443" s="3" t="s">
        <v>509</v>
      </c>
      <c r="J443" s="3" t="s">
        <v>1706</v>
      </c>
      <c r="K443" s="3" t="s">
        <v>37</v>
      </c>
      <c r="L443" s="3" t="s">
        <v>172</v>
      </c>
      <c r="M443" s="3" t="s">
        <v>171</v>
      </c>
      <c r="N443" s="3" t="s">
        <v>174</v>
      </c>
      <c r="O443" s="3" t="s">
        <v>94</v>
      </c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>
        <v>12000</v>
      </c>
      <c r="AB443" s="3">
        <v>5000</v>
      </c>
      <c r="AC443" s="4">
        <v>43780</v>
      </c>
      <c r="AD443" s="4">
        <v>44146</v>
      </c>
      <c r="AE443" s="3" t="s">
        <v>2584</v>
      </c>
      <c r="AF443" s="3">
        <v>0</v>
      </c>
    </row>
    <row r="444" spans="1:32" ht="27.95" x14ac:dyDescent="0.3">
      <c r="A444" s="5">
        <v>438</v>
      </c>
      <c r="B444" s="5" t="str">
        <f>"201800127270"</f>
        <v>201800127270</v>
      </c>
      <c r="C444" s="5" t="str">
        <f>"38498"</f>
        <v>38498</v>
      </c>
      <c r="D444" s="5" t="s">
        <v>2585</v>
      </c>
      <c r="E444" s="5">
        <v>20602171621</v>
      </c>
      <c r="F444" s="5" t="s">
        <v>2586</v>
      </c>
      <c r="G444" s="5" t="s">
        <v>2587</v>
      </c>
      <c r="H444" s="5" t="s">
        <v>150</v>
      </c>
      <c r="I444" s="5" t="s">
        <v>2588</v>
      </c>
      <c r="J444" s="5" t="s">
        <v>2588</v>
      </c>
      <c r="K444" s="5" t="s">
        <v>37</v>
      </c>
      <c r="L444" s="5" t="s">
        <v>2589</v>
      </c>
      <c r="M444" s="5" t="s">
        <v>2590</v>
      </c>
      <c r="N444" s="5" t="s">
        <v>2591</v>
      </c>
      <c r="O444" s="5" t="s">
        <v>2591</v>
      </c>
      <c r="P444" s="5" t="s">
        <v>2591</v>
      </c>
      <c r="Q444" s="5" t="s">
        <v>480</v>
      </c>
      <c r="R444" s="5"/>
      <c r="S444" s="5"/>
      <c r="T444" s="5"/>
      <c r="U444" s="5"/>
      <c r="V444" s="5"/>
      <c r="W444" s="5"/>
      <c r="X444" s="5"/>
      <c r="Y444" s="5"/>
      <c r="Z444" s="5"/>
      <c r="AA444" s="5">
        <v>35480</v>
      </c>
      <c r="AB444" s="5">
        <v>7800</v>
      </c>
      <c r="AC444" s="6">
        <v>43315</v>
      </c>
      <c r="AD444" s="5" t="s">
        <v>42</v>
      </c>
      <c r="AE444" s="5" t="s">
        <v>1827</v>
      </c>
      <c r="AF444" s="5">
        <v>0</v>
      </c>
    </row>
    <row r="445" spans="1:32" ht="27.95" x14ac:dyDescent="0.3">
      <c r="A445" s="3">
        <v>439</v>
      </c>
      <c r="B445" s="3" t="str">
        <f>"201900130225"</f>
        <v>201900130225</v>
      </c>
      <c r="C445" s="3" t="str">
        <f>"64242"</f>
        <v>64242</v>
      </c>
      <c r="D445" s="3" t="s">
        <v>2592</v>
      </c>
      <c r="E445" s="3">
        <v>20541455354</v>
      </c>
      <c r="F445" s="3" t="s">
        <v>2593</v>
      </c>
      <c r="G445" s="3" t="s">
        <v>2594</v>
      </c>
      <c r="H445" s="3" t="s">
        <v>108</v>
      </c>
      <c r="I445" s="3" t="s">
        <v>144</v>
      </c>
      <c r="J445" s="3" t="s">
        <v>145</v>
      </c>
      <c r="K445" s="3" t="s">
        <v>37</v>
      </c>
      <c r="L445" s="3" t="s">
        <v>2595</v>
      </c>
      <c r="M445" s="3" t="s">
        <v>2596</v>
      </c>
      <c r="N445" s="3" t="s">
        <v>2597</v>
      </c>
      <c r="O445" s="3" t="s">
        <v>94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>
        <v>11420</v>
      </c>
      <c r="AB445" s="3">
        <v>5000</v>
      </c>
      <c r="AC445" s="4">
        <v>43690</v>
      </c>
      <c r="AD445" s="3" t="s">
        <v>42</v>
      </c>
      <c r="AE445" s="3" t="s">
        <v>2598</v>
      </c>
      <c r="AF445" s="3">
        <v>0</v>
      </c>
    </row>
    <row r="446" spans="1:32" ht="27.95" x14ac:dyDescent="0.3">
      <c r="A446" s="5">
        <v>440</v>
      </c>
      <c r="B446" s="5" t="str">
        <f>"202000122271"</f>
        <v>202000122271</v>
      </c>
      <c r="C446" s="5" t="str">
        <f>"7723"</f>
        <v>7723</v>
      </c>
      <c r="D446" s="5" t="s">
        <v>2599</v>
      </c>
      <c r="E446" s="5">
        <v>20511193711</v>
      </c>
      <c r="F446" s="5" t="s">
        <v>2600</v>
      </c>
      <c r="G446" s="5" t="s">
        <v>2601</v>
      </c>
      <c r="H446" s="5" t="s">
        <v>108</v>
      </c>
      <c r="I446" s="5" t="s">
        <v>1655</v>
      </c>
      <c r="J446" s="5" t="s">
        <v>2602</v>
      </c>
      <c r="K446" s="5" t="s">
        <v>37</v>
      </c>
      <c r="L446" s="5" t="s">
        <v>2603</v>
      </c>
      <c r="M446" s="5" t="s">
        <v>2603</v>
      </c>
      <c r="N446" s="5" t="s">
        <v>2604</v>
      </c>
      <c r="O446" s="5" t="s">
        <v>1111</v>
      </c>
      <c r="P446" s="5" t="s">
        <v>41</v>
      </c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30500</v>
      </c>
      <c r="AB446" s="5">
        <v>10000</v>
      </c>
      <c r="AC446" s="6">
        <v>44102</v>
      </c>
      <c r="AD446" s="5" t="s">
        <v>42</v>
      </c>
      <c r="AE446" s="5" t="s">
        <v>2605</v>
      </c>
      <c r="AF446" s="5">
        <v>0</v>
      </c>
    </row>
    <row r="447" spans="1:32" ht="27.95" x14ac:dyDescent="0.3">
      <c r="A447" s="3">
        <v>441</v>
      </c>
      <c r="B447" s="3" t="str">
        <f>"202000058490"</f>
        <v>202000058490</v>
      </c>
      <c r="C447" s="3" t="str">
        <f>"21496"</f>
        <v>21496</v>
      </c>
      <c r="D447" s="3" t="s">
        <v>2606</v>
      </c>
      <c r="E447" s="3">
        <v>10009673976</v>
      </c>
      <c r="F447" s="3" t="s">
        <v>2607</v>
      </c>
      <c r="G447" s="3" t="s">
        <v>2608</v>
      </c>
      <c r="H447" s="3" t="s">
        <v>150</v>
      </c>
      <c r="I447" s="3" t="s">
        <v>386</v>
      </c>
      <c r="J447" s="3" t="s">
        <v>386</v>
      </c>
      <c r="K447" s="3" t="s">
        <v>37</v>
      </c>
      <c r="L447" s="3" t="s">
        <v>110</v>
      </c>
      <c r="M447" s="3" t="s">
        <v>110</v>
      </c>
      <c r="N447" s="3" t="s">
        <v>2609</v>
      </c>
      <c r="O447" s="3" t="s">
        <v>2610</v>
      </c>
      <c r="P447" s="3" t="s">
        <v>2611</v>
      </c>
      <c r="Q447" s="3" t="s">
        <v>480</v>
      </c>
      <c r="R447" s="3"/>
      <c r="S447" s="3"/>
      <c r="T447" s="3"/>
      <c r="U447" s="3"/>
      <c r="V447" s="3"/>
      <c r="W447" s="3"/>
      <c r="X447" s="3"/>
      <c r="Y447" s="3"/>
      <c r="Z447" s="3"/>
      <c r="AA447" s="3">
        <v>29900</v>
      </c>
      <c r="AB447" s="3">
        <v>7800</v>
      </c>
      <c r="AC447" s="4">
        <v>43973</v>
      </c>
      <c r="AD447" s="3" t="s">
        <v>42</v>
      </c>
      <c r="AE447" s="3" t="s">
        <v>2607</v>
      </c>
      <c r="AF447" s="3">
        <v>0</v>
      </c>
    </row>
    <row r="448" spans="1:32" x14ac:dyDescent="0.3">
      <c r="A448" s="5">
        <v>442</v>
      </c>
      <c r="B448" s="5" t="str">
        <f>"201700162455"</f>
        <v>201700162455</v>
      </c>
      <c r="C448" s="5" t="str">
        <f>"120264"</f>
        <v>120264</v>
      </c>
      <c r="D448" s="5" t="s">
        <v>2612</v>
      </c>
      <c r="E448" s="5">
        <v>20569215677</v>
      </c>
      <c r="F448" s="5" t="s">
        <v>2613</v>
      </c>
      <c r="G448" s="5" t="s">
        <v>2614</v>
      </c>
      <c r="H448" s="5" t="s">
        <v>116</v>
      </c>
      <c r="I448" s="5" t="s">
        <v>339</v>
      </c>
      <c r="J448" s="5" t="s">
        <v>612</v>
      </c>
      <c r="K448" s="5" t="s">
        <v>37</v>
      </c>
      <c r="L448" s="5" t="s">
        <v>2615</v>
      </c>
      <c r="M448" s="5" t="s">
        <v>1260</v>
      </c>
      <c r="N448" s="5" t="s">
        <v>1260</v>
      </c>
      <c r="O448" s="5" t="s">
        <v>296</v>
      </c>
      <c r="P448" s="5" t="s">
        <v>78</v>
      </c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>
        <v>10300</v>
      </c>
      <c r="AB448" s="5">
        <v>3200</v>
      </c>
      <c r="AC448" s="6">
        <v>43011</v>
      </c>
      <c r="AD448" s="5" t="s">
        <v>42</v>
      </c>
      <c r="AE448" s="5" t="s">
        <v>2616</v>
      </c>
      <c r="AF448" s="5">
        <v>0</v>
      </c>
    </row>
    <row r="449" spans="1:32" ht="41.95" x14ac:dyDescent="0.3">
      <c r="A449" s="3">
        <v>443</v>
      </c>
      <c r="B449" s="3" t="str">
        <f>"201900033160"</f>
        <v>201900033160</v>
      </c>
      <c r="C449" s="3" t="str">
        <f>"60984"</f>
        <v>60984</v>
      </c>
      <c r="D449" s="3" t="s">
        <v>2617</v>
      </c>
      <c r="E449" s="3">
        <v>20519919312</v>
      </c>
      <c r="F449" s="3" t="s">
        <v>2618</v>
      </c>
      <c r="G449" s="3" t="s">
        <v>2619</v>
      </c>
      <c r="H449" s="3" t="s">
        <v>656</v>
      </c>
      <c r="I449" s="3" t="s">
        <v>656</v>
      </c>
      <c r="J449" s="3" t="s">
        <v>2620</v>
      </c>
      <c r="K449" s="3" t="s">
        <v>37</v>
      </c>
      <c r="L449" s="3" t="s">
        <v>2174</v>
      </c>
      <c r="M449" s="3" t="s">
        <v>1331</v>
      </c>
      <c r="N449" s="3" t="s">
        <v>2621</v>
      </c>
      <c r="O449" s="3" t="s">
        <v>63</v>
      </c>
      <c r="P449" s="3" t="s">
        <v>387</v>
      </c>
      <c r="Q449" s="3" t="s">
        <v>94</v>
      </c>
      <c r="R449" s="3"/>
      <c r="S449" s="3"/>
      <c r="T449" s="3"/>
      <c r="U449" s="3"/>
      <c r="V449" s="3"/>
      <c r="W449" s="3"/>
      <c r="X449" s="3"/>
      <c r="Y449" s="3"/>
      <c r="Z449" s="3"/>
      <c r="AA449" s="3">
        <v>25800</v>
      </c>
      <c r="AB449" s="3">
        <v>5000</v>
      </c>
      <c r="AC449" s="4">
        <v>43524</v>
      </c>
      <c r="AD449" s="3" t="s">
        <v>42</v>
      </c>
      <c r="AE449" s="3" t="s">
        <v>2622</v>
      </c>
      <c r="AF449" s="3">
        <v>0</v>
      </c>
    </row>
    <row r="450" spans="1:32" x14ac:dyDescent="0.3">
      <c r="A450" s="5">
        <v>444</v>
      </c>
      <c r="B450" s="5" t="str">
        <f>"201700051002"</f>
        <v>201700051002</v>
      </c>
      <c r="C450" s="5" t="str">
        <f>"42093"</f>
        <v>42093</v>
      </c>
      <c r="D450" s="5" t="s">
        <v>2623</v>
      </c>
      <c r="E450" s="5">
        <v>20487420337</v>
      </c>
      <c r="F450" s="5" t="s">
        <v>2452</v>
      </c>
      <c r="G450" s="5" t="s">
        <v>2624</v>
      </c>
      <c r="H450" s="5" t="s">
        <v>219</v>
      </c>
      <c r="I450" s="5" t="s">
        <v>1365</v>
      </c>
      <c r="J450" s="5" t="s">
        <v>1365</v>
      </c>
      <c r="K450" s="5" t="s">
        <v>37</v>
      </c>
      <c r="L450" s="5" t="s">
        <v>2625</v>
      </c>
      <c r="M450" s="5" t="s">
        <v>2626</v>
      </c>
      <c r="N450" s="5" t="s">
        <v>2627</v>
      </c>
      <c r="O450" s="5" t="s">
        <v>248</v>
      </c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>
        <v>10875</v>
      </c>
      <c r="AB450" s="5">
        <v>3000</v>
      </c>
      <c r="AC450" s="6">
        <v>42837</v>
      </c>
      <c r="AD450" s="5" t="s">
        <v>42</v>
      </c>
      <c r="AE450" s="5" t="s">
        <v>2628</v>
      </c>
      <c r="AF450" s="5">
        <v>720</v>
      </c>
    </row>
    <row r="451" spans="1:32" ht="27.95" x14ac:dyDescent="0.3">
      <c r="A451" s="3">
        <v>445</v>
      </c>
      <c r="B451" s="3" t="str">
        <f>"201900118077"</f>
        <v>201900118077</v>
      </c>
      <c r="C451" s="3" t="str">
        <f>"61987"</f>
        <v>61987</v>
      </c>
      <c r="D451" s="3" t="s">
        <v>2629</v>
      </c>
      <c r="E451" s="3">
        <v>20481077371</v>
      </c>
      <c r="F451" s="3" t="s">
        <v>2630</v>
      </c>
      <c r="G451" s="3" t="s">
        <v>2631</v>
      </c>
      <c r="H451" s="3" t="s">
        <v>219</v>
      </c>
      <c r="I451" s="3" t="s">
        <v>283</v>
      </c>
      <c r="J451" s="3" t="s">
        <v>283</v>
      </c>
      <c r="K451" s="3" t="s">
        <v>37</v>
      </c>
      <c r="L451" s="3" t="s">
        <v>2632</v>
      </c>
      <c r="M451" s="3" t="s">
        <v>2633</v>
      </c>
      <c r="N451" s="3" t="s">
        <v>2634</v>
      </c>
      <c r="O451" s="3" t="s">
        <v>78</v>
      </c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>
        <v>7198</v>
      </c>
      <c r="AB451" s="3">
        <v>3200</v>
      </c>
      <c r="AC451" s="4">
        <v>43683</v>
      </c>
      <c r="AD451" s="3" t="s">
        <v>42</v>
      </c>
      <c r="AE451" s="3" t="s">
        <v>2635</v>
      </c>
      <c r="AF451" s="3">
        <v>0</v>
      </c>
    </row>
    <row r="452" spans="1:32" ht="27.95" x14ac:dyDescent="0.3">
      <c r="A452" s="5">
        <v>446</v>
      </c>
      <c r="B452" s="5" t="str">
        <f>"201700124788"</f>
        <v>201700124788</v>
      </c>
      <c r="C452" s="5" t="str">
        <f>"7133"</f>
        <v>7133</v>
      </c>
      <c r="D452" s="5" t="s">
        <v>2636</v>
      </c>
      <c r="E452" s="5">
        <v>20428543875</v>
      </c>
      <c r="F452" s="5" t="s">
        <v>2637</v>
      </c>
      <c r="G452" s="5" t="s">
        <v>2638</v>
      </c>
      <c r="H452" s="5" t="s">
        <v>329</v>
      </c>
      <c r="I452" s="5" t="s">
        <v>329</v>
      </c>
      <c r="J452" s="5" t="s">
        <v>1546</v>
      </c>
      <c r="K452" s="5" t="s">
        <v>37</v>
      </c>
      <c r="L452" s="5" t="s">
        <v>161</v>
      </c>
      <c r="M452" s="5" t="s">
        <v>63</v>
      </c>
      <c r="N452" s="5" t="s">
        <v>72</v>
      </c>
      <c r="O452" s="5" t="s">
        <v>1255</v>
      </c>
      <c r="P452" s="5" t="s">
        <v>2639</v>
      </c>
      <c r="Q452" s="5" t="s">
        <v>103</v>
      </c>
      <c r="R452" s="5"/>
      <c r="S452" s="5"/>
      <c r="T452" s="5"/>
      <c r="U452" s="5"/>
      <c r="V452" s="5"/>
      <c r="W452" s="5"/>
      <c r="X452" s="5"/>
      <c r="Y452" s="5"/>
      <c r="Z452" s="5"/>
      <c r="AA452" s="5">
        <v>30110</v>
      </c>
      <c r="AB452" s="5">
        <v>2500</v>
      </c>
      <c r="AC452" s="6">
        <v>42961</v>
      </c>
      <c r="AD452" s="5" t="s">
        <v>42</v>
      </c>
      <c r="AE452" s="5" t="s">
        <v>2640</v>
      </c>
      <c r="AF452" s="5">
        <v>120</v>
      </c>
    </row>
    <row r="453" spans="1:32" ht="27.95" x14ac:dyDescent="0.3">
      <c r="A453" s="3">
        <v>447</v>
      </c>
      <c r="B453" s="3" t="str">
        <f>"201900208514"</f>
        <v>201900208514</v>
      </c>
      <c r="C453" s="3" t="str">
        <f>"88316"</f>
        <v>88316</v>
      </c>
      <c r="D453" s="3" t="s">
        <v>2641</v>
      </c>
      <c r="E453" s="3">
        <v>20487425649</v>
      </c>
      <c r="F453" s="3" t="s">
        <v>2642</v>
      </c>
      <c r="G453" s="3" t="s">
        <v>2643</v>
      </c>
      <c r="H453" s="3" t="s">
        <v>36</v>
      </c>
      <c r="I453" s="3" t="s">
        <v>409</v>
      </c>
      <c r="J453" s="3" t="s">
        <v>738</v>
      </c>
      <c r="K453" s="3" t="s">
        <v>37</v>
      </c>
      <c r="L453" s="3" t="s">
        <v>2644</v>
      </c>
      <c r="M453" s="3" t="s">
        <v>1407</v>
      </c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>
        <v>2000</v>
      </c>
      <c r="AB453" s="3">
        <v>1350</v>
      </c>
      <c r="AC453" s="4">
        <v>43843</v>
      </c>
      <c r="AD453" s="3" t="s">
        <v>42</v>
      </c>
      <c r="AE453" s="3" t="s">
        <v>2645</v>
      </c>
      <c r="AF453" s="3">
        <v>480</v>
      </c>
    </row>
    <row r="454" spans="1:32" ht="27.95" x14ac:dyDescent="0.3">
      <c r="A454" s="5">
        <v>448</v>
      </c>
      <c r="B454" s="5" t="str">
        <f>"201500030745"</f>
        <v>201500030745</v>
      </c>
      <c r="C454" s="5" t="str">
        <f>"84375"</f>
        <v>84375</v>
      </c>
      <c r="D454" s="5" t="s">
        <v>2646</v>
      </c>
      <c r="E454" s="5">
        <v>20511230935</v>
      </c>
      <c r="F454" s="5" t="s">
        <v>1181</v>
      </c>
      <c r="G454" s="5" t="s">
        <v>2647</v>
      </c>
      <c r="H454" s="5" t="s">
        <v>58</v>
      </c>
      <c r="I454" s="5" t="s">
        <v>554</v>
      </c>
      <c r="J454" s="5" t="s">
        <v>554</v>
      </c>
      <c r="K454" s="5" t="s">
        <v>37</v>
      </c>
      <c r="L454" s="5" t="s">
        <v>2648</v>
      </c>
      <c r="M454" s="5" t="s">
        <v>94</v>
      </c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>
        <v>4391</v>
      </c>
      <c r="AB454" s="5">
        <v>5000</v>
      </c>
      <c r="AC454" s="6">
        <v>42082</v>
      </c>
      <c r="AD454" s="5" t="s">
        <v>42</v>
      </c>
      <c r="AE454" s="5" t="s">
        <v>2649</v>
      </c>
      <c r="AF454" s="5">
        <v>0</v>
      </c>
    </row>
    <row r="455" spans="1:32" x14ac:dyDescent="0.3">
      <c r="A455" s="3">
        <v>449</v>
      </c>
      <c r="B455" s="3" t="str">
        <f>"201800104612"</f>
        <v>201800104612</v>
      </c>
      <c r="C455" s="3" t="str">
        <f>"19982"</f>
        <v>19982</v>
      </c>
      <c r="D455" s="3" t="s">
        <v>2650</v>
      </c>
      <c r="E455" s="3">
        <v>20503840121</v>
      </c>
      <c r="F455" s="3" t="s">
        <v>442</v>
      </c>
      <c r="G455" s="3" t="s">
        <v>2651</v>
      </c>
      <c r="H455" s="3" t="s">
        <v>58</v>
      </c>
      <c r="I455" s="3" t="s">
        <v>58</v>
      </c>
      <c r="J455" s="3" t="s">
        <v>545</v>
      </c>
      <c r="K455" s="3" t="s">
        <v>37</v>
      </c>
      <c r="L455" s="3" t="s">
        <v>703</v>
      </c>
      <c r="M455" s="3" t="s">
        <v>61</v>
      </c>
      <c r="N455" s="3" t="s">
        <v>72</v>
      </c>
      <c r="O455" s="3" t="s">
        <v>72</v>
      </c>
      <c r="P455" s="3" t="s">
        <v>2652</v>
      </c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>
        <v>32000</v>
      </c>
      <c r="AB455" s="3">
        <v>1810</v>
      </c>
      <c r="AC455" s="4">
        <v>43292</v>
      </c>
      <c r="AD455" s="3" t="s">
        <v>42</v>
      </c>
      <c r="AE455" s="3" t="s">
        <v>2653</v>
      </c>
      <c r="AF455" s="3">
        <v>0</v>
      </c>
    </row>
    <row r="456" spans="1:32" ht="27.95" x14ac:dyDescent="0.3">
      <c r="A456" s="5">
        <v>450</v>
      </c>
      <c r="B456" s="5" t="str">
        <f>"201800017860"</f>
        <v>201800017860</v>
      </c>
      <c r="C456" s="5" t="str">
        <f>"105288"</f>
        <v>105288</v>
      </c>
      <c r="D456" s="5" t="s">
        <v>2654</v>
      </c>
      <c r="E456" s="5">
        <v>20127765279</v>
      </c>
      <c r="F456" s="5" t="s">
        <v>1115</v>
      </c>
      <c r="G456" s="5" t="s">
        <v>2655</v>
      </c>
      <c r="H456" s="5" t="s">
        <v>219</v>
      </c>
      <c r="I456" s="5" t="s">
        <v>568</v>
      </c>
      <c r="J456" s="5" t="s">
        <v>568</v>
      </c>
      <c r="K456" s="5" t="s">
        <v>37</v>
      </c>
      <c r="L456" s="5" t="s">
        <v>63</v>
      </c>
      <c r="M456" s="5" t="s">
        <v>2656</v>
      </c>
      <c r="N456" s="5" t="s">
        <v>94</v>
      </c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>
        <v>12000</v>
      </c>
      <c r="AB456" s="5">
        <v>5000</v>
      </c>
      <c r="AC456" s="6">
        <v>43139</v>
      </c>
      <c r="AD456" s="5" t="s">
        <v>42</v>
      </c>
      <c r="AE456" s="5" t="s">
        <v>2426</v>
      </c>
      <c r="AF456" s="5">
        <v>720</v>
      </c>
    </row>
    <row r="457" spans="1:32" ht="27.95" x14ac:dyDescent="0.3">
      <c r="A457" s="3">
        <v>451</v>
      </c>
      <c r="B457" s="3" t="str">
        <f>"201300059273"</f>
        <v>201300059273</v>
      </c>
      <c r="C457" s="3" t="str">
        <f>"82902"</f>
        <v>82902</v>
      </c>
      <c r="D457" s="3" t="s">
        <v>2657</v>
      </c>
      <c r="E457" s="3">
        <v>20518398971</v>
      </c>
      <c r="F457" s="3" t="s">
        <v>2658</v>
      </c>
      <c r="G457" s="3" t="s">
        <v>2659</v>
      </c>
      <c r="H457" s="3" t="s">
        <v>58</v>
      </c>
      <c r="I457" s="3" t="s">
        <v>58</v>
      </c>
      <c r="J457" s="3" t="s">
        <v>1756</v>
      </c>
      <c r="K457" s="3" t="s">
        <v>37</v>
      </c>
      <c r="L457" s="3" t="s">
        <v>172</v>
      </c>
      <c r="M457" s="3" t="s">
        <v>238</v>
      </c>
      <c r="N457" s="3" t="s">
        <v>285</v>
      </c>
      <c r="O457" s="3" t="s">
        <v>76</v>
      </c>
      <c r="P457" s="3" t="s">
        <v>78</v>
      </c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>
        <v>12000</v>
      </c>
      <c r="AB457" s="3">
        <v>3200</v>
      </c>
      <c r="AC457" s="4">
        <v>41367</v>
      </c>
      <c r="AD457" s="3" t="s">
        <v>42</v>
      </c>
      <c r="AE457" s="3" t="s">
        <v>2660</v>
      </c>
      <c r="AF457" s="3">
        <v>0</v>
      </c>
    </row>
    <row r="458" spans="1:32" ht="27.95" x14ac:dyDescent="0.3">
      <c r="A458" s="5">
        <v>452</v>
      </c>
      <c r="B458" s="5" t="str">
        <f>"201900195235"</f>
        <v>201900195235</v>
      </c>
      <c r="C458" s="5" t="str">
        <f>"45029"</f>
        <v>45029</v>
      </c>
      <c r="D458" s="5" t="s">
        <v>2661</v>
      </c>
      <c r="E458" s="5">
        <v>20604302863</v>
      </c>
      <c r="F458" s="5" t="s">
        <v>2662</v>
      </c>
      <c r="G458" s="5" t="s">
        <v>2663</v>
      </c>
      <c r="H458" s="5" t="s">
        <v>329</v>
      </c>
      <c r="I458" s="5" t="s">
        <v>329</v>
      </c>
      <c r="J458" s="5" t="s">
        <v>330</v>
      </c>
      <c r="K458" s="5" t="s">
        <v>37</v>
      </c>
      <c r="L458" s="5" t="s">
        <v>2664</v>
      </c>
      <c r="M458" s="5" t="s">
        <v>54</v>
      </c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>
        <v>6700</v>
      </c>
      <c r="AB458" s="5">
        <v>4000</v>
      </c>
      <c r="AC458" s="6">
        <v>43798</v>
      </c>
      <c r="AD458" s="5" t="s">
        <v>42</v>
      </c>
      <c r="AE458" s="5" t="s">
        <v>2665</v>
      </c>
      <c r="AF458" s="5">
        <v>0</v>
      </c>
    </row>
    <row r="459" spans="1:32" ht="27.95" x14ac:dyDescent="0.3">
      <c r="A459" s="3">
        <v>453</v>
      </c>
      <c r="B459" s="3" t="str">
        <f>"201600066959"</f>
        <v>201600066959</v>
      </c>
      <c r="C459" s="3" t="str">
        <f>"19850"</f>
        <v>19850</v>
      </c>
      <c r="D459" s="3" t="s">
        <v>2666</v>
      </c>
      <c r="E459" s="3">
        <v>20228985237</v>
      </c>
      <c r="F459" s="3" t="s">
        <v>2667</v>
      </c>
      <c r="G459" s="3" t="s">
        <v>2668</v>
      </c>
      <c r="H459" s="3" t="s">
        <v>89</v>
      </c>
      <c r="I459" s="3" t="s">
        <v>89</v>
      </c>
      <c r="J459" s="3" t="s">
        <v>309</v>
      </c>
      <c r="K459" s="3" t="s">
        <v>37</v>
      </c>
      <c r="L459" s="3" t="s">
        <v>2669</v>
      </c>
      <c r="M459" s="3" t="s">
        <v>2670</v>
      </c>
      <c r="N459" s="3" t="s">
        <v>2671</v>
      </c>
      <c r="O459" s="3" t="s">
        <v>2672</v>
      </c>
      <c r="P459" s="3" t="s">
        <v>2673</v>
      </c>
      <c r="Q459" s="3" t="s">
        <v>94</v>
      </c>
      <c r="R459" s="3"/>
      <c r="S459" s="3"/>
      <c r="T459" s="3"/>
      <c r="U459" s="3"/>
      <c r="V459" s="3"/>
      <c r="W459" s="3"/>
      <c r="X459" s="3"/>
      <c r="Y459" s="3"/>
      <c r="Z459" s="3"/>
      <c r="AA459" s="3">
        <v>28048</v>
      </c>
      <c r="AB459" s="3">
        <v>5000</v>
      </c>
      <c r="AC459" s="4">
        <v>42517</v>
      </c>
      <c r="AD459" s="3" t="s">
        <v>42</v>
      </c>
      <c r="AE459" s="3" t="s">
        <v>2160</v>
      </c>
      <c r="AF459" s="3">
        <v>0</v>
      </c>
    </row>
    <row r="460" spans="1:32" x14ac:dyDescent="0.3">
      <c r="A460" s="5">
        <v>454</v>
      </c>
      <c r="B460" s="5" t="str">
        <f>"201600101676"</f>
        <v>201600101676</v>
      </c>
      <c r="C460" s="5" t="str">
        <f>"34085"</f>
        <v>34085</v>
      </c>
      <c r="D460" s="5" t="s">
        <v>2674</v>
      </c>
      <c r="E460" s="5">
        <v>10154526027</v>
      </c>
      <c r="F460" s="5" t="s">
        <v>2675</v>
      </c>
      <c r="G460" s="5" t="s">
        <v>2676</v>
      </c>
      <c r="H460" s="5" t="s">
        <v>58</v>
      </c>
      <c r="I460" s="5" t="s">
        <v>1108</v>
      </c>
      <c r="J460" s="5" t="s">
        <v>1850</v>
      </c>
      <c r="K460" s="5" t="s">
        <v>37</v>
      </c>
      <c r="L460" s="5" t="s">
        <v>555</v>
      </c>
      <c r="M460" s="5" t="s">
        <v>238</v>
      </c>
      <c r="N460" s="5" t="s">
        <v>172</v>
      </c>
      <c r="O460" s="5" t="s">
        <v>1163</v>
      </c>
      <c r="P460" s="5" t="s">
        <v>78</v>
      </c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>
        <v>11000</v>
      </c>
      <c r="AB460" s="5">
        <v>3200</v>
      </c>
      <c r="AC460" s="6">
        <v>42593</v>
      </c>
      <c r="AD460" s="5" t="s">
        <v>42</v>
      </c>
      <c r="AE460" s="5" t="s">
        <v>2675</v>
      </c>
      <c r="AF460" s="5">
        <v>0</v>
      </c>
    </row>
    <row r="461" spans="1:32" ht="27.95" x14ac:dyDescent="0.3">
      <c r="A461" s="3">
        <v>455</v>
      </c>
      <c r="B461" s="3" t="str">
        <f>"201400158781"</f>
        <v>201400158781</v>
      </c>
      <c r="C461" s="3" t="str">
        <f>"9519"</f>
        <v>9519</v>
      </c>
      <c r="D461" s="3" t="s">
        <v>2677</v>
      </c>
      <c r="E461" s="3">
        <v>20511230935</v>
      </c>
      <c r="F461" s="3" t="s">
        <v>1181</v>
      </c>
      <c r="G461" s="3" t="s">
        <v>2678</v>
      </c>
      <c r="H461" s="3" t="s">
        <v>58</v>
      </c>
      <c r="I461" s="3" t="s">
        <v>58</v>
      </c>
      <c r="J461" s="3" t="s">
        <v>403</v>
      </c>
      <c r="K461" s="3" t="s">
        <v>37</v>
      </c>
      <c r="L461" s="3" t="s">
        <v>320</v>
      </c>
      <c r="M461" s="3" t="s">
        <v>320</v>
      </c>
      <c r="N461" s="3" t="s">
        <v>285</v>
      </c>
      <c r="O461" s="3" t="s">
        <v>74</v>
      </c>
      <c r="P461" s="3" t="s">
        <v>847</v>
      </c>
      <c r="Q461" s="3" t="s">
        <v>398</v>
      </c>
      <c r="R461" s="3" t="s">
        <v>78</v>
      </c>
      <c r="S461" s="3"/>
      <c r="T461" s="3"/>
      <c r="U461" s="3"/>
      <c r="V461" s="3"/>
      <c r="W461" s="3"/>
      <c r="X461" s="3"/>
      <c r="Y461" s="3"/>
      <c r="Z461" s="3"/>
      <c r="AA461" s="3">
        <v>31000</v>
      </c>
      <c r="AB461" s="3">
        <v>3573</v>
      </c>
      <c r="AC461" s="4">
        <v>41975</v>
      </c>
      <c r="AD461" s="3" t="s">
        <v>42</v>
      </c>
      <c r="AE461" s="3" t="s">
        <v>305</v>
      </c>
      <c r="AF461" s="3">
        <v>0</v>
      </c>
    </row>
    <row r="462" spans="1:32" x14ac:dyDescent="0.3">
      <c r="A462" s="5">
        <v>456</v>
      </c>
      <c r="B462" s="5" t="str">
        <f>"201800132081"</f>
        <v>201800132081</v>
      </c>
      <c r="C462" s="5" t="str">
        <f>"6950"</f>
        <v>6950</v>
      </c>
      <c r="D462" s="5" t="s">
        <v>2679</v>
      </c>
      <c r="E462" s="5">
        <v>20120638140</v>
      </c>
      <c r="F462" s="5" t="s">
        <v>2680</v>
      </c>
      <c r="G462" s="5" t="s">
        <v>2681</v>
      </c>
      <c r="H462" s="5" t="s">
        <v>108</v>
      </c>
      <c r="I462" s="5" t="s">
        <v>647</v>
      </c>
      <c r="J462" s="5" t="s">
        <v>1117</v>
      </c>
      <c r="K462" s="5" t="s">
        <v>37</v>
      </c>
      <c r="L462" s="5" t="s">
        <v>63</v>
      </c>
      <c r="M462" s="5" t="s">
        <v>262</v>
      </c>
      <c r="N462" s="5" t="s">
        <v>161</v>
      </c>
      <c r="O462" s="5" t="s">
        <v>166</v>
      </c>
      <c r="P462" s="5" t="s">
        <v>2682</v>
      </c>
      <c r="Q462" s="5" t="s">
        <v>94</v>
      </c>
      <c r="R462" s="5"/>
      <c r="S462" s="5"/>
      <c r="T462" s="5"/>
      <c r="U462" s="5"/>
      <c r="V462" s="5"/>
      <c r="W462" s="5"/>
      <c r="X462" s="5"/>
      <c r="Y462" s="5"/>
      <c r="Z462" s="5"/>
      <c r="AA462" s="5">
        <v>38000</v>
      </c>
      <c r="AB462" s="5">
        <v>5000</v>
      </c>
      <c r="AC462" s="6">
        <v>43321</v>
      </c>
      <c r="AD462" s="5" t="s">
        <v>42</v>
      </c>
      <c r="AE462" s="5" t="s">
        <v>2683</v>
      </c>
      <c r="AF462" s="5">
        <v>0</v>
      </c>
    </row>
    <row r="463" spans="1:32" x14ac:dyDescent="0.3">
      <c r="A463" s="3">
        <v>457</v>
      </c>
      <c r="B463" s="3" t="str">
        <f>"201200174652"</f>
        <v>201200174652</v>
      </c>
      <c r="C463" s="3" t="str">
        <f>"7287"</f>
        <v>7287</v>
      </c>
      <c r="D463" s="3" t="s">
        <v>2684</v>
      </c>
      <c r="E463" s="3">
        <v>20454131101</v>
      </c>
      <c r="F463" s="3" t="s">
        <v>2685</v>
      </c>
      <c r="G463" s="3" t="s">
        <v>2686</v>
      </c>
      <c r="H463" s="3" t="s">
        <v>89</v>
      </c>
      <c r="I463" s="3" t="s">
        <v>89</v>
      </c>
      <c r="J463" s="3" t="s">
        <v>309</v>
      </c>
      <c r="K463" s="3" t="s">
        <v>37</v>
      </c>
      <c r="L463" s="3" t="s">
        <v>72</v>
      </c>
      <c r="M463" s="3" t="s">
        <v>72</v>
      </c>
      <c r="N463" s="3" t="s">
        <v>73</v>
      </c>
      <c r="O463" s="3" t="s">
        <v>174</v>
      </c>
      <c r="P463" s="3" t="s">
        <v>171</v>
      </c>
      <c r="Q463" s="3" t="s">
        <v>248</v>
      </c>
      <c r="R463" s="3"/>
      <c r="S463" s="3"/>
      <c r="T463" s="3"/>
      <c r="U463" s="3"/>
      <c r="V463" s="3"/>
      <c r="W463" s="3"/>
      <c r="X463" s="3"/>
      <c r="Y463" s="3"/>
      <c r="Z463" s="3"/>
      <c r="AA463" s="3">
        <v>32000</v>
      </c>
      <c r="AB463" s="3">
        <v>3000</v>
      </c>
      <c r="AC463" s="4">
        <v>41202</v>
      </c>
      <c r="AD463" s="3" t="s">
        <v>42</v>
      </c>
      <c r="AE463" s="3" t="s">
        <v>2687</v>
      </c>
      <c r="AF463" s="3">
        <v>0</v>
      </c>
    </row>
    <row r="464" spans="1:32" ht="27.95" x14ac:dyDescent="0.3">
      <c r="A464" s="5">
        <v>458</v>
      </c>
      <c r="B464" s="5" t="str">
        <f>"202000097939"</f>
        <v>202000097939</v>
      </c>
      <c r="C464" s="5" t="str">
        <f>"43019"</f>
        <v>43019</v>
      </c>
      <c r="D464" s="5" t="s">
        <v>2688</v>
      </c>
      <c r="E464" s="5">
        <v>10209765484</v>
      </c>
      <c r="F464" s="5" t="s">
        <v>2689</v>
      </c>
      <c r="G464" s="5" t="s">
        <v>2690</v>
      </c>
      <c r="H464" s="5" t="s">
        <v>108</v>
      </c>
      <c r="I464" s="5" t="s">
        <v>598</v>
      </c>
      <c r="J464" s="5" t="s">
        <v>1750</v>
      </c>
      <c r="K464" s="5" t="s">
        <v>37</v>
      </c>
      <c r="L464" s="5" t="s">
        <v>505</v>
      </c>
      <c r="M464" s="5" t="s">
        <v>1163</v>
      </c>
      <c r="N464" s="5" t="s">
        <v>94</v>
      </c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>
        <v>10000</v>
      </c>
      <c r="AB464" s="5">
        <v>5000</v>
      </c>
      <c r="AC464" s="6">
        <v>44049</v>
      </c>
      <c r="AD464" s="6">
        <v>44414</v>
      </c>
      <c r="AE464" s="5" t="s">
        <v>2691</v>
      </c>
      <c r="AF464" s="5">
        <v>720</v>
      </c>
    </row>
    <row r="465" spans="1:32" ht="41.95" x14ac:dyDescent="0.3">
      <c r="A465" s="3">
        <v>459</v>
      </c>
      <c r="B465" s="3" t="str">
        <f>"201900143561"</f>
        <v>201900143561</v>
      </c>
      <c r="C465" s="3" t="str">
        <f>"96518"</f>
        <v>96518</v>
      </c>
      <c r="D465" s="3" t="s">
        <v>2692</v>
      </c>
      <c r="E465" s="3">
        <v>20522170322</v>
      </c>
      <c r="F465" s="3" t="s">
        <v>2693</v>
      </c>
      <c r="G465" s="3" t="s">
        <v>2694</v>
      </c>
      <c r="H465" s="3" t="s">
        <v>58</v>
      </c>
      <c r="I465" s="3" t="s">
        <v>58</v>
      </c>
      <c r="J465" s="3" t="s">
        <v>231</v>
      </c>
      <c r="K465" s="3" t="s">
        <v>37</v>
      </c>
      <c r="L465" s="3" t="s">
        <v>2695</v>
      </c>
      <c r="M465" s="3" t="s">
        <v>2696</v>
      </c>
      <c r="N465" s="3" t="s">
        <v>2697</v>
      </c>
      <c r="O465" s="3" t="s">
        <v>94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>
        <v>17390</v>
      </c>
      <c r="AB465" s="3">
        <v>5000</v>
      </c>
      <c r="AC465" s="4">
        <v>43713</v>
      </c>
      <c r="AD465" s="3" t="s">
        <v>42</v>
      </c>
      <c r="AE465" s="3" t="s">
        <v>2698</v>
      </c>
      <c r="AF465" s="3">
        <v>360</v>
      </c>
    </row>
    <row r="466" spans="1:32" ht="27.95" x14ac:dyDescent="0.3">
      <c r="A466" s="5">
        <v>460</v>
      </c>
      <c r="B466" s="5" t="str">
        <f>"201900184269"</f>
        <v>201900184269</v>
      </c>
      <c r="C466" s="5" t="str">
        <f>"8853"</f>
        <v>8853</v>
      </c>
      <c r="D466" s="5" t="s">
        <v>2699</v>
      </c>
      <c r="E466" s="5">
        <v>20600212967</v>
      </c>
      <c r="F466" s="5" t="s">
        <v>2700</v>
      </c>
      <c r="G466" s="5" t="s">
        <v>2701</v>
      </c>
      <c r="H466" s="5" t="s">
        <v>108</v>
      </c>
      <c r="I466" s="5" t="s">
        <v>852</v>
      </c>
      <c r="J466" s="5" t="s">
        <v>2702</v>
      </c>
      <c r="K466" s="5" t="s">
        <v>37</v>
      </c>
      <c r="L466" s="5" t="s">
        <v>2703</v>
      </c>
      <c r="M466" s="5" t="s">
        <v>2704</v>
      </c>
      <c r="N466" s="5" t="s">
        <v>2705</v>
      </c>
      <c r="O466" s="5" t="s">
        <v>94</v>
      </c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>
        <v>19350</v>
      </c>
      <c r="AB466" s="5">
        <v>5000</v>
      </c>
      <c r="AC466" s="6">
        <v>43780</v>
      </c>
      <c r="AD466" s="5" t="s">
        <v>42</v>
      </c>
      <c r="AE466" s="5" t="s">
        <v>2706</v>
      </c>
      <c r="AF466" s="5">
        <v>720</v>
      </c>
    </row>
    <row r="467" spans="1:32" x14ac:dyDescent="0.3">
      <c r="A467" s="3">
        <v>461</v>
      </c>
      <c r="B467" s="3" t="str">
        <f>"201800167233"</f>
        <v>201800167233</v>
      </c>
      <c r="C467" s="3" t="str">
        <f>"6777"</f>
        <v>6777</v>
      </c>
      <c r="D467" s="3" t="s">
        <v>2707</v>
      </c>
      <c r="E467" s="3">
        <v>20165318391</v>
      </c>
      <c r="F467" s="3" t="s">
        <v>2708</v>
      </c>
      <c r="G467" s="3" t="s">
        <v>2709</v>
      </c>
      <c r="H467" s="3" t="s">
        <v>219</v>
      </c>
      <c r="I467" s="3" t="s">
        <v>220</v>
      </c>
      <c r="J467" s="3" t="s">
        <v>220</v>
      </c>
      <c r="K467" s="3" t="s">
        <v>37</v>
      </c>
      <c r="L467" s="3" t="s">
        <v>2710</v>
      </c>
      <c r="M467" s="3" t="s">
        <v>2711</v>
      </c>
      <c r="N467" s="3" t="s">
        <v>2712</v>
      </c>
      <c r="O467" s="3" t="s">
        <v>2713</v>
      </c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>
        <v>17127</v>
      </c>
      <c r="AB467" s="3">
        <v>4200</v>
      </c>
      <c r="AC467" s="4">
        <v>43384</v>
      </c>
      <c r="AD467" s="3" t="s">
        <v>42</v>
      </c>
      <c r="AE467" s="3" t="s">
        <v>864</v>
      </c>
      <c r="AF467" s="3">
        <v>720</v>
      </c>
    </row>
    <row r="468" spans="1:32" ht="27.95" x14ac:dyDescent="0.3">
      <c r="A468" s="5">
        <v>462</v>
      </c>
      <c r="B468" s="5" t="str">
        <f>"201800216036"</f>
        <v>201800216036</v>
      </c>
      <c r="C468" s="5" t="str">
        <f>"94476"</f>
        <v>94476</v>
      </c>
      <c r="D468" s="5" t="s">
        <v>2714</v>
      </c>
      <c r="E468" s="5">
        <v>20511193045</v>
      </c>
      <c r="F468" s="5" t="s">
        <v>536</v>
      </c>
      <c r="G468" s="5" t="s">
        <v>2715</v>
      </c>
      <c r="H468" s="5" t="s">
        <v>58</v>
      </c>
      <c r="I468" s="5" t="s">
        <v>58</v>
      </c>
      <c r="J468" s="5" t="s">
        <v>2716</v>
      </c>
      <c r="K468" s="5" t="s">
        <v>37</v>
      </c>
      <c r="L468" s="5" t="s">
        <v>2717</v>
      </c>
      <c r="M468" s="5" t="s">
        <v>2718</v>
      </c>
      <c r="N468" s="5" t="s">
        <v>2719</v>
      </c>
      <c r="O468" s="5" t="s">
        <v>2720</v>
      </c>
      <c r="P468" s="5" t="s">
        <v>94</v>
      </c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>
        <v>48863</v>
      </c>
      <c r="AB468" s="5">
        <v>5000</v>
      </c>
      <c r="AC468" s="6">
        <v>43473</v>
      </c>
      <c r="AD468" s="5" t="s">
        <v>42</v>
      </c>
      <c r="AE468" s="5" t="s">
        <v>2721</v>
      </c>
      <c r="AF468" s="5">
        <v>120</v>
      </c>
    </row>
    <row r="469" spans="1:32" ht="27.95" x14ac:dyDescent="0.3">
      <c r="A469" s="3">
        <v>463</v>
      </c>
      <c r="B469" s="3" t="str">
        <f>"201900012166"</f>
        <v>201900012166</v>
      </c>
      <c r="C469" s="3" t="str">
        <f>"119684"</f>
        <v>119684</v>
      </c>
      <c r="D469" s="3" t="s">
        <v>2722</v>
      </c>
      <c r="E469" s="3">
        <v>20228985237</v>
      </c>
      <c r="F469" s="3" t="s">
        <v>2723</v>
      </c>
      <c r="G469" s="3" t="s">
        <v>2724</v>
      </c>
      <c r="H469" s="3" t="s">
        <v>89</v>
      </c>
      <c r="I469" s="3" t="s">
        <v>89</v>
      </c>
      <c r="J469" s="3" t="s">
        <v>309</v>
      </c>
      <c r="K469" s="3" t="s">
        <v>37</v>
      </c>
      <c r="L469" s="3" t="s">
        <v>166</v>
      </c>
      <c r="M469" s="3" t="s">
        <v>2725</v>
      </c>
      <c r="N469" s="3" t="s">
        <v>51</v>
      </c>
      <c r="O469" s="3" t="s">
        <v>102</v>
      </c>
      <c r="P469" s="3" t="s">
        <v>94</v>
      </c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>
        <v>28000</v>
      </c>
      <c r="AB469" s="3">
        <v>5000</v>
      </c>
      <c r="AC469" s="4">
        <v>43493</v>
      </c>
      <c r="AD469" s="3" t="s">
        <v>42</v>
      </c>
      <c r="AE469" s="3" t="s">
        <v>2160</v>
      </c>
      <c r="AF469" s="3">
        <v>0</v>
      </c>
    </row>
    <row r="470" spans="1:32" ht="27.95" x14ac:dyDescent="0.3">
      <c r="A470" s="5">
        <v>464</v>
      </c>
      <c r="B470" s="5" t="str">
        <f>"201900148566"</f>
        <v>201900148566</v>
      </c>
      <c r="C470" s="5" t="str">
        <f>"135722"</f>
        <v>135722</v>
      </c>
      <c r="D470" s="5" t="s">
        <v>2726</v>
      </c>
      <c r="E470" s="5">
        <v>20523161548</v>
      </c>
      <c r="F470" s="5" t="s">
        <v>2727</v>
      </c>
      <c r="G470" s="5" t="s">
        <v>2728</v>
      </c>
      <c r="H470" s="5" t="s">
        <v>219</v>
      </c>
      <c r="I470" s="5" t="s">
        <v>568</v>
      </c>
      <c r="J470" s="5" t="s">
        <v>928</v>
      </c>
      <c r="K470" s="5" t="s">
        <v>37</v>
      </c>
      <c r="L470" s="5" t="s">
        <v>72</v>
      </c>
      <c r="M470" s="5" t="s">
        <v>2729</v>
      </c>
      <c r="N470" s="5" t="s">
        <v>380</v>
      </c>
      <c r="O470" s="5" t="s">
        <v>94</v>
      </c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>
        <v>24000</v>
      </c>
      <c r="AB470" s="5">
        <v>5000</v>
      </c>
      <c r="AC470" s="6">
        <v>43727</v>
      </c>
      <c r="AD470" s="5" t="s">
        <v>42</v>
      </c>
      <c r="AE470" s="5" t="s">
        <v>2730</v>
      </c>
      <c r="AF470" s="5">
        <v>0</v>
      </c>
    </row>
    <row r="471" spans="1:32" ht="27.95" x14ac:dyDescent="0.3">
      <c r="A471" s="3">
        <v>465</v>
      </c>
      <c r="B471" s="3" t="str">
        <f>"201900204333"</f>
        <v>201900204333</v>
      </c>
      <c r="C471" s="3" t="str">
        <f>"104719"</f>
        <v>104719</v>
      </c>
      <c r="D471" s="3" t="s">
        <v>2731</v>
      </c>
      <c r="E471" s="3">
        <v>20127765279</v>
      </c>
      <c r="F471" s="3" t="s">
        <v>1115</v>
      </c>
      <c r="G471" s="3" t="s">
        <v>2732</v>
      </c>
      <c r="H471" s="3" t="s">
        <v>47</v>
      </c>
      <c r="I471" s="3" t="s">
        <v>47</v>
      </c>
      <c r="J471" s="3" t="s">
        <v>47</v>
      </c>
      <c r="K471" s="3" t="s">
        <v>37</v>
      </c>
      <c r="L471" s="3" t="s">
        <v>63</v>
      </c>
      <c r="M471" s="3" t="s">
        <v>2733</v>
      </c>
      <c r="N471" s="3" t="s">
        <v>161</v>
      </c>
      <c r="O471" s="3" t="s">
        <v>248</v>
      </c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>
        <v>18000</v>
      </c>
      <c r="AB471" s="3">
        <v>3000</v>
      </c>
      <c r="AC471" s="4">
        <v>43809</v>
      </c>
      <c r="AD471" s="3" t="s">
        <v>42</v>
      </c>
      <c r="AE471" s="3" t="s">
        <v>279</v>
      </c>
      <c r="AF471" s="3">
        <v>0</v>
      </c>
    </row>
    <row r="472" spans="1:32" ht="41.95" x14ac:dyDescent="0.3">
      <c r="A472" s="5">
        <v>466</v>
      </c>
      <c r="B472" s="5" t="str">
        <f>"201800130488"</f>
        <v>201800130488</v>
      </c>
      <c r="C472" s="5" t="str">
        <f>"43492"</f>
        <v>43492</v>
      </c>
      <c r="D472" s="5" t="s">
        <v>2734</v>
      </c>
      <c r="E472" s="5">
        <v>20504649386</v>
      </c>
      <c r="F472" s="5" t="s">
        <v>1046</v>
      </c>
      <c r="G472" s="5" t="s">
        <v>2735</v>
      </c>
      <c r="H472" s="5" t="s">
        <v>58</v>
      </c>
      <c r="I472" s="5" t="s">
        <v>58</v>
      </c>
      <c r="J472" s="5" t="s">
        <v>71</v>
      </c>
      <c r="K472" s="5" t="s">
        <v>37</v>
      </c>
      <c r="L472" s="5" t="s">
        <v>2736</v>
      </c>
      <c r="M472" s="5" t="s">
        <v>78</v>
      </c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>
        <v>6603</v>
      </c>
      <c r="AB472" s="5">
        <v>3200</v>
      </c>
      <c r="AC472" s="6">
        <v>43326</v>
      </c>
      <c r="AD472" s="5" t="s">
        <v>42</v>
      </c>
      <c r="AE472" s="5" t="s">
        <v>1050</v>
      </c>
      <c r="AF472" s="5">
        <v>0</v>
      </c>
    </row>
    <row r="473" spans="1:32" x14ac:dyDescent="0.3">
      <c r="A473" s="3">
        <v>467</v>
      </c>
      <c r="B473" s="3" t="str">
        <f>"202000056617"</f>
        <v>202000056617</v>
      </c>
      <c r="C473" s="3" t="str">
        <f>"8059"</f>
        <v>8059</v>
      </c>
      <c r="D473" s="3" t="s">
        <v>2737</v>
      </c>
      <c r="E473" s="3">
        <v>20514636843</v>
      </c>
      <c r="F473" s="3" t="s">
        <v>1553</v>
      </c>
      <c r="G473" s="3" t="s">
        <v>2738</v>
      </c>
      <c r="H473" s="3" t="s">
        <v>187</v>
      </c>
      <c r="I473" s="3" t="s">
        <v>2570</v>
      </c>
      <c r="J473" s="3" t="s">
        <v>2570</v>
      </c>
      <c r="K473" s="3" t="s">
        <v>37</v>
      </c>
      <c r="L473" s="3" t="s">
        <v>397</v>
      </c>
      <c r="M473" s="3" t="s">
        <v>63</v>
      </c>
      <c r="N473" s="3" t="s">
        <v>754</v>
      </c>
      <c r="O473" s="3" t="s">
        <v>49</v>
      </c>
      <c r="P473" s="3" t="s">
        <v>398</v>
      </c>
      <c r="Q473" s="3" t="s">
        <v>1007</v>
      </c>
      <c r="R473" s="3" t="s">
        <v>94</v>
      </c>
      <c r="S473" s="3"/>
      <c r="T473" s="3"/>
      <c r="U473" s="3"/>
      <c r="V473" s="3"/>
      <c r="W473" s="3"/>
      <c r="X473" s="3"/>
      <c r="Y473" s="3"/>
      <c r="Z473" s="3"/>
      <c r="AA473" s="3">
        <v>23000</v>
      </c>
      <c r="AB473" s="3">
        <v>5000</v>
      </c>
      <c r="AC473" s="4">
        <v>43971</v>
      </c>
      <c r="AD473" s="3" t="s">
        <v>42</v>
      </c>
      <c r="AE473" s="3" t="s">
        <v>1555</v>
      </c>
      <c r="AF473" s="3">
        <v>0</v>
      </c>
    </row>
    <row r="474" spans="1:32" x14ac:dyDescent="0.3">
      <c r="A474" s="5">
        <v>468</v>
      </c>
      <c r="B474" s="5" t="str">
        <f>"201800016650"</f>
        <v>201800016650</v>
      </c>
      <c r="C474" s="5" t="str">
        <f>"62517"</f>
        <v>62517</v>
      </c>
      <c r="D474" s="5" t="s">
        <v>2739</v>
      </c>
      <c r="E474" s="5">
        <v>20127765279</v>
      </c>
      <c r="F474" s="5" t="s">
        <v>2740</v>
      </c>
      <c r="G474" s="5" t="s">
        <v>2741</v>
      </c>
      <c r="H474" s="5" t="s">
        <v>219</v>
      </c>
      <c r="I474" s="5" t="s">
        <v>220</v>
      </c>
      <c r="J474" s="5" t="s">
        <v>220</v>
      </c>
      <c r="K474" s="5" t="s">
        <v>37</v>
      </c>
      <c r="L474" s="5" t="s">
        <v>63</v>
      </c>
      <c r="M474" s="5" t="s">
        <v>63</v>
      </c>
      <c r="N474" s="5" t="s">
        <v>77</v>
      </c>
      <c r="O474" s="5" t="s">
        <v>238</v>
      </c>
      <c r="P474" s="5" t="s">
        <v>76</v>
      </c>
      <c r="Q474" s="5" t="s">
        <v>54</v>
      </c>
      <c r="R474" s="5"/>
      <c r="S474" s="5"/>
      <c r="T474" s="5"/>
      <c r="U474" s="5"/>
      <c r="V474" s="5"/>
      <c r="W474" s="5"/>
      <c r="X474" s="5"/>
      <c r="Y474" s="5"/>
      <c r="Z474" s="5"/>
      <c r="AA474" s="5">
        <v>18000</v>
      </c>
      <c r="AB474" s="5">
        <v>9000</v>
      </c>
      <c r="AC474" s="6">
        <v>43133</v>
      </c>
      <c r="AD474" s="5" t="s">
        <v>42</v>
      </c>
      <c r="AE474" s="5" t="s">
        <v>2426</v>
      </c>
      <c r="AF474" s="5">
        <v>720</v>
      </c>
    </row>
    <row r="475" spans="1:32" ht="27.95" x14ac:dyDescent="0.3">
      <c r="A475" s="3">
        <v>469</v>
      </c>
      <c r="B475" s="3" t="str">
        <f>"201800104600"</f>
        <v>201800104600</v>
      </c>
      <c r="C475" s="3" t="str">
        <f>"7022"</f>
        <v>7022</v>
      </c>
      <c r="D475" s="3" t="s">
        <v>2742</v>
      </c>
      <c r="E475" s="3">
        <v>20503840121</v>
      </c>
      <c r="F475" s="3" t="s">
        <v>442</v>
      </c>
      <c r="G475" s="3" t="s">
        <v>2743</v>
      </c>
      <c r="H475" s="3" t="s">
        <v>89</v>
      </c>
      <c r="I475" s="3" t="s">
        <v>2084</v>
      </c>
      <c r="J475" s="3" t="s">
        <v>2085</v>
      </c>
      <c r="K475" s="3" t="s">
        <v>37</v>
      </c>
      <c r="L475" s="3" t="s">
        <v>110</v>
      </c>
      <c r="M475" s="3" t="s">
        <v>110</v>
      </c>
      <c r="N475" s="3" t="s">
        <v>2744</v>
      </c>
      <c r="O475" s="3" t="s">
        <v>2003</v>
      </c>
      <c r="P475" s="3" t="s">
        <v>78</v>
      </c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>
        <v>24500</v>
      </c>
      <c r="AB475" s="3">
        <v>3200</v>
      </c>
      <c r="AC475" s="4">
        <v>43278</v>
      </c>
      <c r="AD475" s="3" t="s">
        <v>42</v>
      </c>
      <c r="AE475" s="3" t="s">
        <v>399</v>
      </c>
      <c r="AF475" s="3">
        <v>0</v>
      </c>
    </row>
    <row r="476" spans="1:32" x14ac:dyDescent="0.3">
      <c r="A476" s="5">
        <v>470</v>
      </c>
      <c r="B476" s="5" t="str">
        <f>"201500030537"</f>
        <v>201500030537</v>
      </c>
      <c r="C476" s="5" t="str">
        <f>"17951"</f>
        <v>17951</v>
      </c>
      <c r="D476" s="5" t="s">
        <v>2745</v>
      </c>
      <c r="E476" s="5">
        <v>20112401351</v>
      </c>
      <c r="F476" s="5" t="s">
        <v>473</v>
      </c>
      <c r="G476" s="5" t="s">
        <v>2746</v>
      </c>
      <c r="H476" s="5" t="s">
        <v>58</v>
      </c>
      <c r="I476" s="5" t="s">
        <v>373</v>
      </c>
      <c r="J476" s="5" t="s">
        <v>2747</v>
      </c>
      <c r="K476" s="5" t="s">
        <v>37</v>
      </c>
      <c r="L476" s="5" t="s">
        <v>387</v>
      </c>
      <c r="M476" s="5" t="s">
        <v>387</v>
      </c>
      <c r="N476" s="5" t="s">
        <v>387</v>
      </c>
      <c r="O476" s="5" t="s">
        <v>2748</v>
      </c>
      <c r="P476" s="5" t="s">
        <v>190</v>
      </c>
      <c r="Q476" s="5" t="s">
        <v>2749</v>
      </c>
      <c r="R476" s="5" t="s">
        <v>2750</v>
      </c>
      <c r="S476" s="5" t="s">
        <v>78</v>
      </c>
      <c r="T476" s="5"/>
      <c r="U476" s="5"/>
      <c r="V476" s="5"/>
      <c r="W476" s="5"/>
      <c r="X476" s="5"/>
      <c r="Y476" s="5"/>
      <c r="Z476" s="5"/>
      <c r="AA476" s="5">
        <v>55400</v>
      </c>
      <c r="AB476" s="5">
        <v>3200</v>
      </c>
      <c r="AC476" s="6">
        <v>42076</v>
      </c>
      <c r="AD476" s="5" t="s">
        <v>42</v>
      </c>
      <c r="AE476" s="5" t="s">
        <v>481</v>
      </c>
      <c r="AF476" s="5">
        <v>240</v>
      </c>
    </row>
    <row r="477" spans="1:32" x14ac:dyDescent="0.3">
      <c r="A477" s="3">
        <v>471</v>
      </c>
      <c r="B477" s="3" t="str">
        <f>"201700094431"</f>
        <v>201700094431</v>
      </c>
      <c r="C477" s="3" t="str">
        <f>"129427"</f>
        <v>129427</v>
      </c>
      <c r="D477" s="3" t="s">
        <v>2751</v>
      </c>
      <c r="E477" s="3">
        <v>20601254973</v>
      </c>
      <c r="F477" s="3" t="s">
        <v>2752</v>
      </c>
      <c r="G477" s="3" t="s">
        <v>2753</v>
      </c>
      <c r="H477" s="3" t="s">
        <v>219</v>
      </c>
      <c r="I477" s="3" t="s">
        <v>568</v>
      </c>
      <c r="J477" s="3" t="s">
        <v>928</v>
      </c>
      <c r="K477" s="3" t="s">
        <v>37</v>
      </c>
      <c r="L477" s="3" t="s">
        <v>2754</v>
      </c>
      <c r="M477" s="3" t="s">
        <v>74</v>
      </c>
      <c r="N477" s="3" t="s">
        <v>76</v>
      </c>
      <c r="O477" s="3" t="s">
        <v>1367</v>
      </c>
      <c r="P477" s="3" t="s">
        <v>94</v>
      </c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>
        <v>16700</v>
      </c>
      <c r="AB477" s="3">
        <v>5000</v>
      </c>
      <c r="AC477" s="4">
        <v>42914</v>
      </c>
      <c r="AD477" s="3" t="s">
        <v>42</v>
      </c>
      <c r="AE477" s="3" t="s">
        <v>2755</v>
      </c>
      <c r="AF477" s="3">
        <v>0</v>
      </c>
    </row>
    <row r="478" spans="1:32" ht="55.9" x14ac:dyDescent="0.3">
      <c r="A478" s="5">
        <v>472</v>
      </c>
      <c r="B478" s="5" t="str">
        <f>"202000127015"</f>
        <v>202000127015</v>
      </c>
      <c r="C478" s="5" t="str">
        <f>"151378"</f>
        <v>151378</v>
      </c>
      <c r="D478" s="5" t="s">
        <v>2756</v>
      </c>
      <c r="E478" s="5">
        <v>20348303636</v>
      </c>
      <c r="F478" s="5" t="s">
        <v>2757</v>
      </c>
      <c r="G478" s="5" t="s">
        <v>2758</v>
      </c>
      <c r="H478" s="5" t="s">
        <v>58</v>
      </c>
      <c r="I478" s="5" t="s">
        <v>1108</v>
      </c>
      <c r="J478" s="5" t="s">
        <v>374</v>
      </c>
      <c r="K478" s="5" t="s">
        <v>37</v>
      </c>
      <c r="L478" s="5" t="s">
        <v>166</v>
      </c>
      <c r="M478" s="5" t="s">
        <v>51</v>
      </c>
      <c r="N478" s="5" t="s">
        <v>50</v>
      </c>
      <c r="O478" s="5" t="s">
        <v>743</v>
      </c>
      <c r="P478" s="5" t="s">
        <v>120</v>
      </c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>
        <v>25000</v>
      </c>
      <c r="AB478" s="5">
        <v>3500</v>
      </c>
      <c r="AC478" s="6">
        <v>44102</v>
      </c>
      <c r="AD478" s="5" t="s">
        <v>42</v>
      </c>
      <c r="AE478" s="5" t="s">
        <v>382</v>
      </c>
      <c r="AF478" s="5">
        <v>0</v>
      </c>
    </row>
    <row r="479" spans="1:32" ht="27.95" x14ac:dyDescent="0.3">
      <c r="A479" s="3">
        <v>473</v>
      </c>
      <c r="B479" s="3" t="str">
        <f>"201700105564"</f>
        <v>201700105564</v>
      </c>
      <c r="C479" s="3" t="str">
        <f>"110611"</f>
        <v>110611</v>
      </c>
      <c r="D479" s="3" t="s">
        <v>2759</v>
      </c>
      <c r="E479" s="3">
        <v>20568123426</v>
      </c>
      <c r="F479" s="3" t="s">
        <v>2760</v>
      </c>
      <c r="G479" s="3" t="s">
        <v>2761</v>
      </c>
      <c r="H479" s="3" t="s">
        <v>108</v>
      </c>
      <c r="I479" s="3" t="s">
        <v>647</v>
      </c>
      <c r="J479" s="3" t="s">
        <v>647</v>
      </c>
      <c r="K479" s="3" t="s">
        <v>37</v>
      </c>
      <c r="L479" s="3" t="s">
        <v>950</v>
      </c>
      <c r="M479" s="3" t="s">
        <v>2762</v>
      </c>
      <c r="N479" s="3" t="s">
        <v>94</v>
      </c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>
        <v>16000</v>
      </c>
      <c r="AB479" s="3">
        <v>5000</v>
      </c>
      <c r="AC479" s="4">
        <v>42922</v>
      </c>
      <c r="AD479" s="3" t="s">
        <v>42</v>
      </c>
      <c r="AE479" s="3" t="s">
        <v>2763</v>
      </c>
      <c r="AF479" s="3">
        <v>0</v>
      </c>
    </row>
    <row r="480" spans="1:32" x14ac:dyDescent="0.3">
      <c r="A480" s="5">
        <v>474</v>
      </c>
      <c r="B480" s="5" t="str">
        <f>"202000114772"</f>
        <v>202000114772</v>
      </c>
      <c r="C480" s="5" t="str">
        <f>"16704"</f>
        <v>16704</v>
      </c>
      <c r="D480" s="5" t="s">
        <v>2764</v>
      </c>
      <c r="E480" s="5">
        <v>20366924052</v>
      </c>
      <c r="F480" s="5" t="s">
        <v>2765</v>
      </c>
      <c r="G480" s="5" t="s">
        <v>2766</v>
      </c>
      <c r="H480" s="5" t="s">
        <v>999</v>
      </c>
      <c r="I480" s="5" t="s">
        <v>999</v>
      </c>
      <c r="J480" s="5" t="s">
        <v>999</v>
      </c>
      <c r="K480" s="5" t="s">
        <v>37</v>
      </c>
      <c r="L480" s="5" t="s">
        <v>1642</v>
      </c>
      <c r="M480" s="5" t="s">
        <v>2767</v>
      </c>
      <c r="N480" s="5" t="s">
        <v>240</v>
      </c>
      <c r="O480" s="5" t="s">
        <v>314</v>
      </c>
      <c r="P480" s="5" t="s">
        <v>278</v>
      </c>
      <c r="Q480" s="5" t="s">
        <v>1530</v>
      </c>
      <c r="R480" s="5" t="s">
        <v>94</v>
      </c>
      <c r="S480" s="5"/>
      <c r="T480" s="5"/>
      <c r="U480" s="5"/>
      <c r="V480" s="5"/>
      <c r="W480" s="5"/>
      <c r="X480" s="5"/>
      <c r="Y480" s="5"/>
      <c r="Z480" s="5"/>
      <c r="AA480" s="5">
        <v>28600</v>
      </c>
      <c r="AB480" s="5">
        <v>5000</v>
      </c>
      <c r="AC480" s="6">
        <v>44096</v>
      </c>
      <c r="AD480" s="5" t="s">
        <v>42</v>
      </c>
      <c r="AE480" s="5" t="s">
        <v>2768</v>
      </c>
      <c r="AF480" s="5">
        <v>0</v>
      </c>
    </row>
    <row r="481" spans="1:32" ht="27.95" x14ac:dyDescent="0.3">
      <c r="A481" s="3">
        <v>475</v>
      </c>
      <c r="B481" s="3" t="str">
        <f>"202000057741"</f>
        <v>202000057741</v>
      </c>
      <c r="C481" s="3" t="str">
        <f>"95445"</f>
        <v>95445</v>
      </c>
      <c r="D481" s="3" t="s">
        <v>2769</v>
      </c>
      <c r="E481" s="3">
        <v>20113539594</v>
      </c>
      <c r="F481" s="3" t="s">
        <v>2770</v>
      </c>
      <c r="G481" s="3" t="s">
        <v>2771</v>
      </c>
      <c r="H481" s="3" t="s">
        <v>187</v>
      </c>
      <c r="I481" s="3" t="s">
        <v>187</v>
      </c>
      <c r="J481" s="3" t="s">
        <v>357</v>
      </c>
      <c r="K481" s="3" t="s">
        <v>37</v>
      </c>
      <c r="L481" s="3" t="s">
        <v>102</v>
      </c>
      <c r="M481" s="3" t="s">
        <v>51</v>
      </c>
      <c r="N481" s="3" t="s">
        <v>1751</v>
      </c>
      <c r="O481" s="3" t="s">
        <v>78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>
        <v>15000</v>
      </c>
      <c r="AB481" s="3">
        <v>3200</v>
      </c>
      <c r="AC481" s="4">
        <v>43970</v>
      </c>
      <c r="AD481" s="3" t="s">
        <v>42</v>
      </c>
      <c r="AE481" s="3" t="s">
        <v>2772</v>
      </c>
      <c r="AF481" s="3">
        <v>720</v>
      </c>
    </row>
    <row r="482" spans="1:32" ht="27.95" x14ac:dyDescent="0.3">
      <c r="A482" s="5">
        <v>476</v>
      </c>
      <c r="B482" s="5" t="str">
        <f>"201300040611"</f>
        <v>201300040611</v>
      </c>
      <c r="C482" s="5" t="str">
        <f>"62992"</f>
        <v>62992</v>
      </c>
      <c r="D482" s="5" t="s">
        <v>2773</v>
      </c>
      <c r="E482" s="5">
        <v>20514175773</v>
      </c>
      <c r="F482" s="5" t="s">
        <v>2774</v>
      </c>
      <c r="G482" s="5" t="s">
        <v>2775</v>
      </c>
      <c r="H482" s="5" t="s">
        <v>58</v>
      </c>
      <c r="I482" s="5" t="s">
        <v>58</v>
      </c>
      <c r="J482" s="5" t="s">
        <v>410</v>
      </c>
      <c r="K482" s="5" t="s">
        <v>37</v>
      </c>
      <c r="L482" s="5" t="s">
        <v>2776</v>
      </c>
      <c r="M482" s="5" t="s">
        <v>678</v>
      </c>
      <c r="N482" s="5" t="s">
        <v>78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>
        <v>8000</v>
      </c>
      <c r="AB482" s="5">
        <v>3200</v>
      </c>
      <c r="AC482" s="6">
        <v>41330</v>
      </c>
      <c r="AD482" s="5" t="s">
        <v>42</v>
      </c>
      <c r="AE482" s="5" t="s">
        <v>2777</v>
      </c>
      <c r="AF482" s="5">
        <v>240</v>
      </c>
    </row>
    <row r="483" spans="1:32" ht="27.95" x14ac:dyDescent="0.3">
      <c r="A483" s="3">
        <v>477</v>
      </c>
      <c r="B483" s="3" t="str">
        <f>"202000021836"</f>
        <v>202000021836</v>
      </c>
      <c r="C483" s="3" t="str">
        <f>"7245"</f>
        <v>7245</v>
      </c>
      <c r="D483" s="3" t="s">
        <v>2778</v>
      </c>
      <c r="E483" s="3">
        <v>20100111838</v>
      </c>
      <c r="F483" s="3" t="s">
        <v>2779</v>
      </c>
      <c r="G483" s="3" t="s">
        <v>2780</v>
      </c>
      <c r="H483" s="3" t="s">
        <v>116</v>
      </c>
      <c r="I483" s="3" t="s">
        <v>339</v>
      </c>
      <c r="J483" s="3" t="s">
        <v>612</v>
      </c>
      <c r="K483" s="3" t="s">
        <v>37</v>
      </c>
      <c r="L483" s="3" t="s">
        <v>63</v>
      </c>
      <c r="M483" s="3" t="s">
        <v>775</v>
      </c>
      <c r="N483" s="3" t="s">
        <v>263</v>
      </c>
      <c r="O483" s="3" t="s">
        <v>161</v>
      </c>
      <c r="P483" s="3" t="s">
        <v>174</v>
      </c>
      <c r="Q483" s="3" t="s">
        <v>241</v>
      </c>
      <c r="R483" s="3" t="s">
        <v>459</v>
      </c>
      <c r="S483" s="3" t="s">
        <v>66</v>
      </c>
      <c r="T483" s="3"/>
      <c r="U483" s="3"/>
      <c r="V483" s="3"/>
      <c r="W483" s="3"/>
      <c r="X483" s="3"/>
      <c r="Y483" s="3"/>
      <c r="Z483" s="3"/>
      <c r="AA483" s="3">
        <v>32000</v>
      </c>
      <c r="AB483" s="3">
        <v>4500</v>
      </c>
      <c r="AC483" s="4">
        <v>43875</v>
      </c>
      <c r="AD483" s="3" t="s">
        <v>42</v>
      </c>
      <c r="AE483" s="3" t="s">
        <v>2781</v>
      </c>
      <c r="AF483" s="3">
        <v>0</v>
      </c>
    </row>
    <row r="484" spans="1:32" ht="27.95" x14ac:dyDescent="0.3">
      <c r="A484" s="5">
        <v>478</v>
      </c>
      <c r="B484" s="5" t="str">
        <f>"201500027653"</f>
        <v>201500027653</v>
      </c>
      <c r="C484" s="5" t="str">
        <f>"94166"</f>
        <v>94166</v>
      </c>
      <c r="D484" s="5" t="s">
        <v>2782</v>
      </c>
      <c r="E484" s="5">
        <v>20568203373</v>
      </c>
      <c r="F484" s="5" t="s">
        <v>2783</v>
      </c>
      <c r="G484" s="5" t="s">
        <v>2784</v>
      </c>
      <c r="H484" s="5" t="s">
        <v>108</v>
      </c>
      <c r="I484" s="5" t="s">
        <v>1468</v>
      </c>
      <c r="J484" s="5" t="s">
        <v>2785</v>
      </c>
      <c r="K484" s="5" t="s">
        <v>37</v>
      </c>
      <c r="L484" s="5" t="s">
        <v>2786</v>
      </c>
      <c r="M484" s="5" t="s">
        <v>1323</v>
      </c>
      <c r="N484" s="5" t="s">
        <v>94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>
        <v>13030</v>
      </c>
      <c r="AB484" s="5">
        <v>5000</v>
      </c>
      <c r="AC484" s="6">
        <v>42073</v>
      </c>
      <c r="AD484" s="5" t="s">
        <v>42</v>
      </c>
      <c r="AE484" s="5" t="s">
        <v>2787</v>
      </c>
      <c r="AF484" s="5">
        <v>0</v>
      </c>
    </row>
    <row r="485" spans="1:32" ht="41.95" x14ac:dyDescent="0.3">
      <c r="A485" s="3">
        <v>479</v>
      </c>
      <c r="B485" s="3" t="str">
        <f>"201800179428"</f>
        <v>201800179428</v>
      </c>
      <c r="C485" s="3" t="str">
        <f>"62370"</f>
        <v>62370</v>
      </c>
      <c r="D485" s="3" t="s">
        <v>2788</v>
      </c>
      <c r="E485" s="3">
        <v>20502794052</v>
      </c>
      <c r="F485" s="3" t="s">
        <v>2139</v>
      </c>
      <c r="G485" s="3" t="s">
        <v>2789</v>
      </c>
      <c r="H485" s="3" t="s">
        <v>116</v>
      </c>
      <c r="I485" s="3" t="s">
        <v>339</v>
      </c>
      <c r="J485" s="3" t="s">
        <v>612</v>
      </c>
      <c r="K485" s="3" t="s">
        <v>37</v>
      </c>
      <c r="L485" s="3" t="s">
        <v>2790</v>
      </c>
      <c r="M485" s="3" t="s">
        <v>103</v>
      </c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>
        <v>7000</v>
      </c>
      <c r="AB485" s="3">
        <v>2500</v>
      </c>
      <c r="AC485" s="4">
        <v>43402</v>
      </c>
      <c r="AD485" s="3" t="s">
        <v>42</v>
      </c>
      <c r="AE485" s="3" t="s">
        <v>2142</v>
      </c>
      <c r="AF485" s="3">
        <v>0</v>
      </c>
    </row>
    <row r="486" spans="1:32" ht="27.95" x14ac:dyDescent="0.3">
      <c r="A486" s="5">
        <v>480</v>
      </c>
      <c r="B486" s="5" t="str">
        <f>"202000009298"</f>
        <v>202000009298</v>
      </c>
      <c r="C486" s="5" t="str">
        <f>"148821"</f>
        <v>148821</v>
      </c>
      <c r="D486" s="5" t="s">
        <v>2791</v>
      </c>
      <c r="E486" s="5">
        <v>20275873480</v>
      </c>
      <c r="F486" s="5" t="s">
        <v>695</v>
      </c>
      <c r="G486" s="5" t="s">
        <v>2792</v>
      </c>
      <c r="H486" s="5" t="s">
        <v>219</v>
      </c>
      <c r="I486" s="5" t="s">
        <v>220</v>
      </c>
      <c r="J486" s="5" t="s">
        <v>220</v>
      </c>
      <c r="K486" s="5" t="s">
        <v>37</v>
      </c>
      <c r="L486" s="5" t="s">
        <v>102</v>
      </c>
      <c r="M486" s="5" t="s">
        <v>102</v>
      </c>
      <c r="N486" s="5" t="s">
        <v>102</v>
      </c>
      <c r="O486" s="5" t="s">
        <v>238</v>
      </c>
      <c r="P486" s="5" t="s">
        <v>76</v>
      </c>
      <c r="Q486" s="5" t="s">
        <v>77</v>
      </c>
      <c r="R486" s="5" t="s">
        <v>94</v>
      </c>
      <c r="S486" s="5"/>
      <c r="T486" s="5"/>
      <c r="U486" s="5"/>
      <c r="V486" s="5"/>
      <c r="W486" s="5"/>
      <c r="X486" s="5"/>
      <c r="Y486" s="5"/>
      <c r="Z486" s="5"/>
      <c r="AA486" s="5">
        <v>21000</v>
      </c>
      <c r="AB486" s="5">
        <v>5000</v>
      </c>
      <c r="AC486" s="6">
        <v>43858</v>
      </c>
      <c r="AD486" s="5" t="s">
        <v>42</v>
      </c>
      <c r="AE486" s="5" t="s">
        <v>699</v>
      </c>
      <c r="AF486" s="5">
        <v>0</v>
      </c>
    </row>
    <row r="487" spans="1:32" ht="27.95" x14ac:dyDescent="0.3">
      <c r="A487" s="3">
        <v>481</v>
      </c>
      <c r="B487" s="3" t="str">
        <f>"201700028062"</f>
        <v>201700028062</v>
      </c>
      <c r="C487" s="3" t="str">
        <f>"9484"</f>
        <v>9484</v>
      </c>
      <c r="D487" s="3" t="s">
        <v>2793</v>
      </c>
      <c r="E487" s="3">
        <v>20506151547</v>
      </c>
      <c r="F487" s="3" t="s">
        <v>1522</v>
      </c>
      <c r="G487" s="3" t="s">
        <v>2794</v>
      </c>
      <c r="H487" s="3" t="s">
        <v>58</v>
      </c>
      <c r="I487" s="3" t="s">
        <v>58</v>
      </c>
      <c r="J487" s="3" t="s">
        <v>410</v>
      </c>
      <c r="K487" s="3" t="s">
        <v>37</v>
      </c>
      <c r="L487" s="3" t="s">
        <v>72</v>
      </c>
      <c r="M487" s="3" t="s">
        <v>174</v>
      </c>
      <c r="N487" s="3" t="s">
        <v>171</v>
      </c>
      <c r="O487" s="3" t="s">
        <v>381</v>
      </c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>
        <v>16000</v>
      </c>
      <c r="AB487" s="3">
        <v>2000</v>
      </c>
      <c r="AC487" s="4">
        <v>42792</v>
      </c>
      <c r="AD487" s="3" t="s">
        <v>42</v>
      </c>
      <c r="AE487" s="3" t="s">
        <v>2795</v>
      </c>
      <c r="AF487" s="3">
        <v>240</v>
      </c>
    </row>
    <row r="488" spans="1:32" ht="27.95" x14ac:dyDescent="0.3">
      <c r="A488" s="5">
        <v>482</v>
      </c>
      <c r="B488" s="5" t="str">
        <f>"201900204320"</f>
        <v>201900204320</v>
      </c>
      <c r="C488" s="5" t="str">
        <f>"33521"</f>
        <v>33521</v>
      </c>
      <c r="D488" s="5" t="s">
        <v>2796</v>
      </c>
      <c r="E488" s="5">
        <v>20127765279</v>
      </c>
      <c r="F488" s="5" t="s">
        <v>1115</v>
      </c>
      <c r="G488" s="5" t="s">
        <v>2797</v>
      </c>
      <c r="H488" s="5" t="s">
        <v>58</v>
      </c>
      <c r="I488" s="5" t="s">
        <v>823</v>
      </c>
      <c r="J488" s="5" t="s">
        <v>823</v>
      </c>
      <c r="K488" s="5" t="s">
        <v>37</v>
      </c>
      <c r="L488" s="5" t="s">
        <v>2798</v>
      </c>
      <c r="M488" s="5" t="s">
        <v>2799</v>
      </c>
      <c r="N488" s="5" t="s">
        <v>754</v>
      </c>
      <c r="O488" s="5" t="s">
        <v>2800</v>
      </c>
      <c r="P488" s="5" t="s">
        <v>120</v>
      </c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>
        <v>11400</v>
      </c>
      <c r="AB488" s="5">
        <v>3500</v>
      </c>
      <c r="AC488" s="6">
        <v>43811</v>
      </c>
      <c r="AD488" s="5" t="s">
        <v>42</v>
      </c>
      <c r="AE488" s="5" t="s">
        <v>279</v>
      </c>
      <c r="AF488" s="5">
        <v>0</v>
      </c>
    </row>
    <row r="489" spans="1:32" ht="27.95" x14ac:dyDescent="0.3">
      <c r="A489" s="3">
        <v>483</v>
      </c>
      <c r="B489" s="3" t="str">
        <f>"202000010164"</f>
        <v>202000010164</v>
      </c>
      <c r="C489" s="3" t="str">
        <f>"114067"</f>
        <v>114067</v>
      </c>
      <c r="D489" s="3" t="s">
        <v>2801</v>
      </c>
      <c r="E489" s="3">
        <v>20545524911</v>
      </c>
      <c r="F489" s="3" t="s">
        <v>2802</v>
      </c>
      <c r="G489" s="3" t="s">
        <v>2803</v>
      </c>
      <c r="H489" s="3" t="s">
        <v>47</v>
      </c>
      <c r="I489" s="3" t="s">
        <v>290</v>
      </c>
      <c r="J489" s="3" t="s">
        <v>2186</v>
      </c>
      <c r="K489" s="3" t="s">
        <v>37</v>
      </c>
      <c r="L489" s="3" t="s">
        <v>2804</v>
      </c>
      <c r="M489" s="3" t="s">
        <v>51</v>
      </c>
      <c r="N489" s="3" t="s">
        <v>102</v>
      </c>
      <c r="O489" s="3" t="s">
        <v>78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>
        <v>15000</v>
      </c>
      <c r="AB489" s="3">
        <v>3200</v>
      </c>
      <c r="AC489" s="4">
        <v>43850</v>
      </c>
      <c r="AD489" s="3" t="s">
        <v>42</v>
      </c>
      <c r="AE489" s="3" t="s">
        <v>2805</v>
      </c>
      <c r="AF489" s="3">
        <v>0</v>
      </c>
    </row>
    <row r="490" spans="1:32" x14ac:dyDescent="0.3">
      <c r="A490" s="5">
        <v>484</v>
      </c>
      <c r="B490" s="5" t="str">
        <f>"201900204322"</f>
        <v>201900204322</v>
      </c>
      <c r="C490" s="5" t="str">
        <f>"21389"</f>
        <v>21389</v>
      </c>
      <c r="D490" s="5" t="s">
        <v>2806</v>
      </c>
      <c r="E490" s="5">
        <v>20127765279</v>
      </c>
      <c r="F490" s="5" t="s">
        <v>1115</v>
      </c>
      <c r="G490" s="5" t="s">
        <v>2807</v>
      </c>
      <c r="H490" s="5" t="s">
        <v>219</v>
      </c>
      <c r="I490" s="5" t="s">
        <v>220</v>
      </c>
      <c r="J490" s="5" t="s">
        <v>220</v>
      </c>
      <c r="K490" s="5" t="s">
        <v>37</v>
      </c>
      <c r="L490" s="5" t="s">
        <v>411</v>
      </c>
      <c r="M490" s="5" t="s">
        <v>743</v>
      </c>
      <c r="N490" s="5" t="s">
        <v>51</v>
      </c>
      <c r="O490" s="5" t="s">
        <v>50</v>
      </c>
      <c r="P490" s="5" t="s">
        <v>397</v>
      </c>
      <c r="Q490" s="5" t="s">
        <v>103</v>
      </c>
      <c r="R490" s="5"/>
      <c r="S490" s="5"/>
      <c r="T490" s="5"/>
      <c r="U490" s="5"/>
      <c r="V490" s="5"/>
      <c r="W490" s="5"/>
      <c r="X490" s="5"/>
      <c r="Y490" s="5"/>
      <c r="Z490" s="5"/>
      <c r="AA490" s="5">
        <v>25000</v>
      </c>
      <c r="AB490" s="5">
        <v>2500</v>
      </c>
      <c r="AC490" s="6">
        <v>43811</v>
      </c>
      <c r="AD490" s="5" t="s">
        <v>42</v>
      </c>
      <c r="AE490" s="5" t="s">
        <v>279</v>
      </c>
      <c r="AF490" s="5">
        <v>120</v>
      </c>
    </row>
    <row r="491" spans="1:32" ht="27.95" x14ac:dyDescent="0.3">
      <c r="A491" s="3">
        <v>485</v>
      </c>
      <c r="B491" s="3" t="str">
        <f>"201900066155"</f>
        <v>201900066155</v>
      </c>
      <c r="C491" s="3" t="str">
        <f>"15206"</f>
        <v>15206</v>
      </c>
      <c r="D491" s="3" t="s">
        <v>2808</v>
      </c>
      <c r="E491" s="3">
        <v>20511230935</v>
      </c>
      <c r="F491" s="3" t="s">
        <v>1181</v>
      </c>
      <c r="G491" s="3" t="s">
        <v>2809</v>
      </c>
      <c r="H491" s="3" t="s">
        <v>58</v>
      </c>
      <c r="I491" s="3" t="s">
        <v>58</v>
      </c>
      <c r="J491" s="3" t="s">
        <v>253</v>
      </c>
      <c r="K491" s="3" t="s">
        <v>37</v>
      </c>
      <c r="L491" s="3" t="s">
        <v>2810</v>
      </c>
      <c r="M491" s="3" t="s">
        <v>2811</v>
      </c>
      <c r="N491" s="3" t="s">
        <v>94</v>
      </c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>
        <v>16000</v>
      </c>
      <c r="AB491" s="3">
        <v>5000</v>
      </c>
      <c r="AC491" s="4">
        <v>43844</v>
      </c>
      <c r="AD491" s="3" t="s">
        <v>42</v>
      </c>
      <c r="AE491" s="3" t="s">
        <v>305</v>
      </c>
      <c r="AF491" s="3">
        <v>0</v>
      </c>
    </row>
    <row r="492" spans="1:32" x14ac:dyDescent="0.3">
      <c r="A492" s="5">
        <v>486</v>
      </c>
      <c r="B492" s="5" t="str">
        <f>"201500002514"</f>
        <v>201500002514</v>
      </c>
      <c r="C492" s="5" t="str">
        <f>"20785"</f>
        <v>20785</v>
      </c>
      <c r="D492" s="5" t="s">
        <v>2812</v>
      </c>
      <c r="E492" s="5">
        <v>20402312859</v>
      </c>
      <c r="F492" s="5" t="s">
        <v>2813</v>
      </c>
      <c r="G492" s="5" t="s">
        <v>2814</v>
      </c>
      <c r="H492" s="5" t="s">
        <v>108</v>
      </c>
      <c r="I492" s="5" t="s">
        <v>1655</v>
      </c>
      <c r="J492" s="5" t="s">
        <v>1789</v>
      </c>
      <c r="K492" s="5" t="s">
        <v>37</v>
      </c>
      <c r="L492" s="5" t="s">
        <v>2815</v>
      </c>
      <c r="M492" s="5" t="s">
        <v>2816</v>
      </c>
      <c r="N492" s="5" t="s">
        <v>2817</v>
      </c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>
        <v>8400</v>
      </c>
      <c r="AB492" s="5">
        <v>1700</v>
      </c>
      <c r="AC492" s="6">
        <v>42024</v>
      </c>
      <c r="AD492" s="5" t="s">
        <v>42</v>
      </c>
      <c r="AE492" s="5" t="s">
        <v>2818</v>
      </c>
      <c r="AF492" s="5">
        <v>0</v>
      </c>
    </row>
    <row r="493" spans="1:32" ht="27.95" x14ac:dyDescent="0.3">
      <c r="A493" s="3">
        <v>487</v>
      </c>
      <c r="B493" s="3" t="str">
        <f>"201900076186"</f>
        <v>201900076186</v>
      </c>
      <c r="C493" s="3" t="str">
        <f>"18446"</f>
        <v>18446</v>
      </c>
      <c r="D493" s="3" t="s">
        <v>2819</v>
      </c>
      <c r="E493" s="3">
        <v>20536053621</v>
      </c>
      <c r="F493" s="3" t="s">
        <v>1146</v>
      </c>
      <c r="G493" s="3" t="s">
        <v>2820</v>
      </c>
      <c r="H493" s="3" t="s">
        <v>36</v>
      </c>
      <c r="I493" s="3" t="s">
        <v>409</v>
      </c>
      <c r="J493" s="3" t="s">
        <v>410</v>
      </c>
      <c r="K493" s="3" t="s">
        <v>37</v>
      </c>
      <c r="L493" s="3" t="s">
        <v>2821</v>
      </c>
      <c r="M493" s="3" t="s">
        <v>213</v>
      </c>
      <c r="N493" s="3" t="s">
        <v>2822</v>
      </c>
      <c r="O493" s="3" t="s">
        <v>862</v>
      </c>
      <c r="P493" s="3" t="s">
        <v>862</v>
      </c>
      <c r="Q493" s="3" t="s">
        <v>94</v>
      </c>
      <c r="R493" s="3"/>
      <c r="S493" s="3"/>
      <c r="T493" s="3"/>
      <c r="U493" s="3"/>
      <c r="V493" s="3"/>
      <c r="W493" s="3"/>
      <c r="X493" s="3"/>
      <c r="Y493" s="3"/>
      <c r="Z493" s="3"/>
      <c r="AA493" s="3">
        <v>33000</v>
      </c>
      <c r="AB493" s="3">
        <v>5000</v>
      </c>
      <c r="AC493" s="4">
        <v>43606</v>
      </c>
      <c r="AD493" s="3" t="s">
        <v>42</v>
      </c>
      <c r="AE493" s="3" t="s">
        <v>256</v>
      </c>
      <c r="AF493" s="3">
        <v>0</v>
      </c>
    </row>
    <row r="494" spans="1:32" ht="27.95" x14ac:dyDescent="0.3">
      <c r="A494" s="5">
        <v>488</v>
      </c>
      <c r="B494" s="5" t="str">
        <f>"201900193200"</f>
        <v>201900193200</v>
      </c>
      <c r="C494" s="5" t="str">
        <f>"19946"</f>
        <v>19946</v>
      </c>
      <c r="D494" s="5" t="s">
        <v>2823</v>
      </c>
      <c r="E494" s="5">
        <v>20603243979</v>
      </c>
      <c r="F494" s="5" t="s">
        <v>2824</v>
      </c>
      <c r="G494" s="5" t="s">
        <v>2825</v>
      </c>
      <c r="H494" s="5" t="s">
        <v>58</v>
      </c>
      <c r="I494" s="5" t="s">
        <v>58</v>
      </c>
      <c r="J494" s="5" t="s">
        <v>2826</v>
      </c>
      <c r="K494" s="5" t="s">
        <v>37</v>
      </c>
      <c r="L494" s="5" t="s">
        <v>166</v>
      </c>
      <c r="M494" s="5" t="s">
        <v>171</v>
      </c>
      <c r="N494" s="5" t="s">
        <v>174</v>
      </c>
      <c r="O494" s="5" t="s">
        <v>1111</v>
      </c>
      <c r="P494" s="5" t="s">
        <v>2827</v>
      </c>
      <c r="Q494" s="5" t="s">
        <v>66</v>
      </c>
      <c r="R494" s="5"/>
      <c r="S494" s="5"/>
      <c r="T494" s="5"/>
      <c r="U494" s="5"/>
      <c r="V494" s="5"/>
      <c r="W494" s="5"/>
      <c r="X494" s="5"/>
      <c r="Y494" s="5"/>
      <c r="Z494" s="5"/>
      <c r="AA494" s="5">
        <v>24362</v>
      </c>
      <c r="AB494" s="5">
        <v>4500</v>
      </c>
      <c r="AC494" s="6">
        <v>43791</v>
      </c>
      <c r="AD494" s="5" t="s">
        <v>42</v>
      </c>
      <c r="AE494" s="5" t="s">
        <v>2698</v>
      </c>
      <c r="AF494" s="5">
        <v>0</v>
      </c>
    </row>
    <row r="495" spans="1:32" x14ac:dyDescent="0.3">
      <c r="A495" s="3">
        <v>489</v>
      </c>
      <c r="B495" s="3" t="str">
        <f>"201900004863"</f>
        <v>201900004863</v>
      </c>
      <c r="C495" s="3" t="str">
        <f>"140721"</f>
        <v>140721</v>
      </c>
      <c r="D495" s="3" t="s">
        <v>2828</v>
      </c>
      <c r="E495" s="3">
        <v>20542317257</v>
      </c>
      <c r="F495" s="3" t="s">
        <v>2829</v>
      </c>
      <c r="G495" s="3" t="s">
        <v>2830</v>
      </c>
      <c r="H495" s="3" t="s">
        <v>2831</v>
      </c>
      <c r="I495" s="3" t="s">
        <v>2832</v>
      </c>
      <c r="J495" s="3" t="s">
        <v>2833</v>
      </c>
      <c r="K495" s="3" t="s">
        <v>37</v>
      </c>
      <c r="L495" s="3" t="s">
        <v>1479</v>
      </c>
      <c r="M495" s="3" t="s">
        <v>1479</v>
      </c>
      <c r="N495" s="3" t="s">
        <v>1479</v>
      </c>
      <c r="O495" s="3" t="s">
        <v>2834</v>
      </c>
      <c r="P495" s="3" t="s">
        <v>2835</v>
      </c>
      <c r="Q495" s="3" t="s">
        <v>2415</v>
      </c>
      <c r="R495" s="3" t="s">
        <v>2836</v>
      </c>
      <c r="S495" s="3" t="s">
        <v>2837</v>
      </c>
      <c r="T495" s="3"/>
      <c r="U495" s="3"/>
      <c r="V495" s="3"/>
      <c r="W495" s="3"/>
      <c r="X495" s="3"/>
      <c r="Y495" s="3"/>
      <c r="Z495" s="3"/>
      <c r="AA495" s="3">
        <v>60000</v>
      </c>
      <c r="AB495" s="3">
        <v>7600</v>
      </c>
      <c r="AC495" s="4">
        <v>43480</v>
      </c>
      <c r="AD495" s="3" t="s">
        <v>42</v>
      </c>
      <c r="AE495" s="3" t="s">
        <v>2838</v>
      </c>
      <c r="AF495" s="3">
        <v>720</v>
      </c>
    </row>
    <row r="496" spans="1:32" ht="27.95" x14ac:dyDescent="0.3">
      <c r="A496" s="5">
        <v>490</v>
      </c>
      <c r="B496" s="5" t="str">
        <f>"201200134786"</f>
        <v>201200134786</v>
      </c>
      <c r="C496" s="5" t="str">
        <f>"9051"</f>
        <v>9051</v>
      </c>
      <c r="D496" s="5" t="s">
        <v>2839</v>
      </c>
      <c r="E496" s="5">
        <v>20134540606</v>
      </c>
      <c r="F496" s="5" t="s">
        <v>2840</v>
      </c>
      <c r="G496" s="5" t="s">
        <v>2841</v>
      </c>
      <c r="H496" s="5" t="s">
        <v>108</v>
      </c>
      <c r="I496" s="5" t="s">
        <v>144</v>
      </c>
      <c r="J496" s="5" t="s">
        <v>2842</v>
      </c>
      <c r="K496" s="5" t="s">
        <v>37</v>
      </c>
      <c r="L496" s="5" t="s">
        <v>161</v>
      </c>
      <c r="M496" s="5" t="s">
        <v>477</v>
      </c>
      <c r="N496" s="5" t="s">
        <v>262</v>
      </c>
      <c r="O496" s="5" t="s">
        <v>263</v>
      </c>
      <c r="P496" s="5" t="s">
        <v>593</v>
      </c>
      <c r="Q496" s="5" t="s">
        <v>94</v>
      </c>
      <c r="R496" s="5"/>
      <c r="S496" s="5"/>
      <c r="T496" s="5"/>
      <c r="U496" s="5"/>
      <c r="V496" s="5"/>
      <c r="W496" s="5"/>
      <c r="X496" s="5"/>
      <c r="Y496" s="5"/>
      <c r="Z496" s="5"/>
      <c r="AA496" s="5">
        <v>29000</v>
      </c>
      <c r="AB496" s="5">
        <v>5000</v>
      </c>
      <c r="AC496" s="6">
        <v>41095</v>
      </c>
      <c r="AD496" s="5" t="s">
        <v>42</v>
      </c>
      <c r="AE496" s="5" t="s">
        <v>2843</v>
      </c>
      <c r="AF496" s="5">
        <v>0</v>
      </c>
    </row>
    <row r="497" spans="1:32" ht="27.95" x14ac:dyDescent="0.3">
      <c r="A497" s="3">
        <v>491</v>
      </c>
      <c r="B497" s="3" t="str">
        <f>"201800131768"</f>
        <v>201800131768</v>
      </c>
      <c r="C497" s="3" t="str">
        <f>"36505"</f>
        <v>36505</v>
      </c>
      <c r="D497" s="3" t="s">
        <v>2844</v>
      </c>
      <c r="E497" s="3">
        <v>20452262399</v>
      </c>
      <c r="F497" s="3" t="s">
        <v>624</v>
      </c>
      <c r="G497" s="3" t="s">
        <v>2845</v>
      </c>
      <c r="H497" s="3" t="s">
        <v>798</v>
      </c>
      <c r="I497" s="3" t="s">
        <v>964</v>
      </c>
      <c r="J497" s="3" t="s">
        <v>798</v>
      </c>
      <c r="K497" s="3" t="s">
        <v>37</v>
      </c>
      <c r="L497" s="3" t="s">
        <v>161</v>
      </c>
      <c r="M497" s="3" t="s">
        <v>1866</v>
      </c>
      <c r="N497" s="3" t="s">
        <v>63</v>
      </c>
      <c r="O497" s="3" t="s">
        <v>63</v>
      </c>
      <c r="P497" s="3" t="s">
        <v>78</v>
      </c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>
        <v>24000</v>
      </c>
      <c r="AB497" s="3">
        <v>3200</v>
      </c>
      <c r="AC497" s="4">
        <v>43334</v>
      </c>
      <c r="AD497" s="3" t="s">
        <v>42</v>
      </c>
      <c r="AE497" s="3" t="s">
        <v>629</v>
      </c>
      <c r="AF497" s="3">
        <v>0</v>
      </c>
    </row>
    <row r="498" spans="1:32" x14ac:dyDescent="0.3">
      <c r="A498" s="5">
        <v>492</v>
      </c>
      <c r="B498" s="5" t="str">
        <f>"201900083034"</f>
        <v>201900083034</v>
      </c>
      <c r="C498" s="5" t="str">
        <f>"7085"</f>
        <v>7085</v>
      </c>
      <c r="D498" s="5" t="s">
        <v>2846</v>
      </c>
      <c r="E498" s="5">
        <v>20538512584</v>
      </c>
      <c r="F498" s="5" t="s">
        <v>2847</v>
      </c>
      <c r="G498" s="5" t="s">
        <v>2848</v>
      </c>
      <c r="H498" s="5" t="s">
        <v>108</v>
      </c>
      <c r="I498" s="5" t="s">
        <v>647</v>
      </c>
      <c r="J498" s="5" t="s">
        <v>647</v>
      </c>
      <c r="K498" s="5" t="s">
        <v>37</v>
      </c>
      <c r="L498" s="5" t="s">
        <v>2849</v>
      </c>
      <c r="M498" s="5" t="s">
        <v>2850</v>
      </c>
      <c r="N498" s="5" t="s">
        <v>2851</v>
      </c>
      <c r="O498" s="5" t="s">
        <v>2852</v>
      </c>
      <c r="P498" s="5" t="s">
        <v>94</v>
      </c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>
        <v>18390</v>
      </c>
      <c r="AB498" s="5">
        <v>5000</v>
      </c>
      <c r="AC498" s="6">
        <v>43612</v>
      </c>
      <c r="AD498" s="5" t="s">
        <v>42</v>
      </c>
      <c r="AE498" s="5" t="s">
        <v>2853</v>
      </c>
      <c r="AF498" s="5">
        <v>0</v>
      </c>
    </row>
    <row r="499" spans="1:32" x14ac:dyDescent="0.3">
      <c r="A499" s="3">
        <v>493</v>
      </c>
      <c r="B499" s="3" t="str">
        <f>"201600166501"</f>
        <v>201600166501</v>
      </c>
      <c r="C499" s="3" t="str">
        <f>"6954"</f>
        <v>6954</v>
      </c>
      <c r="D499" s="3" t="s">
        <v>2854</v>
      </c>
      <c r="E499" s="3">
        <v>10040721172</v>
      </c>
      <c r="F499" s="3" t="s">
        <v>2855</v>
      </c>
      <c r="G499" s="3" t="s">
        <v>2856</v>
      </c>
      <c r="H499" s="3" t="s">
        <v>125</v>
      </c>
      <c r="I499" s="3" t="s">
        <v>125</v>
      </c>
      <c r="J499" s="3" t="s">
        <v>125</v>
      </c>
      <c r="K499" s="3" t="s">
        <v>37</v>
      </c>
      <c r="L499" s="3" t="s">
        <v>2857</v>
      </c>
      <c r="M499" s="3" t="s">
        <v>2858</v>
      </c>
      <c r="N499" s="3" t="s">
        <v>2859</v>
      </c>
      <c r="O499" s="3" t="s">
        <v>2860</v>
      </c>
      <c r="P499" s="3" t="s">
        <v>2861</v>
      </c>
      <c r="Q499" s="3" t="s">
        <v>2861</v>
      </c>
      <c r="R499" s="3" t="s">
        <v>2861</v>
      </c>
      <c r="S499" s="3" t="s">
        <v>2862</v>
      </c>
      <c r="T499" s="3" t="s">
        <v>480</v>
      </c>
      <c r="U499" s="3"/>
      <c r="V499" s="3"/>
      <c r="W499" s="3"/>
      <c r="X499" s="3"/>
      <c r="Y499" s="3"/>
      <c r="Z499" s="3"/>
      <c r="AA499" s="3">
        <v>26500</v>
      </c>
      <c r="AB499" s="3">
        <v>7800</v>
      </c>
      <c r="AC499" s="4">
        <v>42692</v>
      </c>
      <c r="AD499" s="3" t="s">
        <v>42</v>
      </c>
      <c r="AE499" s="3" t="s">
        <v>2855</v>
      </c>
      <c r="AF499" s="3">
        <v>0</v>
      </c>
    </row>
    <row r="500" spans="1:32" ht="27.95" x14ac:dyDescent="0.3">
      <c r="A500" s="5">
        <v>494</v>
      </c>
      <c r="B500" s="5" t="str">
        <f>"202000057711"</f>
        <v>202000057711</v>
      </c>
      <c r="C500" s="5" t="str">
        <f>"104692"</f>
        <v>104692</v>
      </c>
      <c r="D500" s="5" t="s">
        <v>2863</v>
      </c>
      <c r="E500" s="5">
        <v>20601812208</v>
      </c>
      <c r="F500" s="5" t="s">
        <v>2864</v>
      </c>
      <c r="G500" s="5" t="s">
        <v>2865</v>
      </c>
      <c r="H500" s="5" t="s">
        <v>187</v>
      </c>
      <c r="I500" s="5" t="s">
        <v>2152</v>
      </c>
      <c r="J500" s="5" t="s">
        <v>2152</v>
      </c>
      <c r="K500" s="5" t="s">
        <v>37</v>
      </c>
      <c r="L500" s="5" t="s">
        <v>74</v>
      </c>
      <c r="M500" s="5" t="s">
        <v>1367</v>
      </c>
      <c r="N500" s="5" t="s">
        <v>459</v>
      </c>
      <c r="O500" s="5" t="s">
        <v>54</v>
      </c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>
        <v>9000</v>
      </c>
      <c r="AB500" s="5">
        <v>4000</v>
      </c>
      <c r="AC500" s="6">
        <v>43990</v>
      </c>
      <c r="AD500" s="5" t="s">
        <v>42</v>
      </c>
      <c r="AE500" s="5" t="s">
        <v>2866</v>
      </c>
      <c r="AF500" s="5">
        <v>720</v>
      </c>
    </row>
    <row r="501" spans="1:32" ht="27.95" x14ac:dyDescent="0.3">
      <c r="A501" s="3">
        <v>495</v>
      </c>
      <c r="B501" s="3" t="str">
        <f>"201700076775"</f>
        <v>201700076775</v>
      </c>
      <c r="C501" s="3" t="str">
        <f>"8268"</f>
        <v>8268</v>
      </c>
      <c r="D501" s="3" t="s">
        <v>2867</v>
      </c>
      <c r="E501" s="3">
        <v>20160404796</v>
      </c>
      <c r="F501" s="3" t="s">
        <v>2868</v>
      </c>
      <c r="G501" s="3" t="s">
        <v>2869</v>
      </c>
      <c r="H501" s="3" t="s">
        <v>58</v>
      </c>
      <c r="I501" s="3" t="s">
        <v>58</v>
      </c>
      <c r="J501" s="3" t="s">
        <v>59</v>
      </c>
      <c r="K501" s="3" t="s">
        <v>37</v>
      </c>
      <c r="L501" s="3" t="s">
        <v>1686</v>
      </c>
      <c r="M501" s="3" t="s">
        <v>61</v>
      </c>
      <c r="N501" s="3" t="s">
        <v>60</v>
      </c>
      <c r="O501" s="3" t="s">
        <v>2870</v>
      </c>
      <c r="P501" s="3" t="s">
        <v>248</v>
      </c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>
        <v>32000</v>
      </c>
      <c r="AB501" s="3">
        <v>3000</v>
      </c>
      <c r="AC501" s="4">
        <v>42879</v>
      </c>
      <c r="AD501" s="3" t="s">
        <v>42</v>
      </c>
      <c r="AE501" s="3" t="s">
        <v>2871</v>
      </c>
      <c r="AF501" s="3">
        <v>0</v>
      </c>
    </row>
    <row r="502" spans="1:32" ht="27.95" x14ac:dyDescent="0.3">
      <c r="A502" s="5">
        <v>496</v>
      </c>
      <c r="B502" s="5" t="str">
        <f>"201800086432"</f>
        <v>201800086432</v>
      </c>
      <c r="C502" s="5" t="str">
        <f>"82100"</f>
        <v>82100</v>
      </c>
      <c r="D502" s="5" t="s">
        <v>2872</v>
      </c>
      <c r="E502" s="5">
        <v>20603191529</v>
      </c>
      <c r="F502" s="5" t="s">
        <v>2873</v>
      </c>
      <c r="G502" s="5" t="s">
        <v>2874</v>
      </c>
      <c r="H502" s="5" t="s">
        <v>116</v>
      </c>
      <c r="I502" s="5" t="s">
        <v>339</v>
      </c>
      <c r="J502" s="5" t="s">
        <v>340</v>
      </c>
      <c r="K502" s="5" t="s">
        <v>37</v>
      </c>
      <c r="L502" s="5" t="s">
        <v>2875</v>
      </c>
      <c r="M502" s="5" t="s">
        <v>94</v>
      </c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>
        <v>4800</v>
      </c>
      <c r="AB502" s="5">
        <v>5000</v>
      </c>
      <c r="AC502" s="6">
        <v>43245</v>
      </c>
      <c r="AD502" s="5" t="s">
        <v>42</v>
      </c>
      <c r="AE502" s="5" t="s">
        <v>2876</v>
      </c>
      <c r="AF502" s="5">
        <v>720</v>
      </c>
    </row>
    <row r="503" spans="1:32" ht="27.95" x14ac:dyDescent="0.3">
      <c r="A503" s="3">
        <v>497</v>
      </c>
      <c r="B503" s="3" t="str">
        <f>"201900118060"</f>
        <v>201900118060</v>
      </c>
      <c r="C503" s="3" t="str">
        <f>"145386"</f>
        <v>145386</v>
      </c>
      <c r="D503" s="3" t="s">
        <v>2877</v>
      </c>
      <c r="E503" s="3">
        <v>20557280970</v>
      </c>
      <c r="F503" s="3" t="s">
        <v>2878</v>
      </c>
      <c r="G503" s="3" t="s">
        <v>2879</v>
      </c>
      <c r="H503" s="3" t="s">
        <v>47</v>
      </c>
      <c r="I503" s="3" t="s">
        <v>47</v>
      </c>
      <c r="J503" s="3" t="s">
        <v>2880</v>
      </c>
      <c r="K503" s="3" t="s">
        <v>37</v>
      </c>
      <c r="L503" s="3" t="s">
        <v>166</v>
      </c>
      <c r="M503" s="3" t="s">
        <v>1474</v>
      </c>
      <c r="N503" s="3" t="s">
        <v>470</v>
      </c>
      <c r="O503" s="3" t="s">
        <v>120</v>
      </c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>
        <v>26000</v>
      </c>
      <c r="AB503" s="3">
        <v>3500</v>
      </c>
      <c r="AC503" s="4">
        <v>43667</v>
      </c>
      <c r="AD503" s="3" t="s">
        <v>42</v>
      </c>
      <c r="AE503" s="3" t="s">
        <v>1427</v>
      </c>
      <c r="AF503" s="3">
        <v>0</v>
      </c>
    </row>
    <row r="504" spans="1:32" x14ac:dyDescent="0.3">
      <c r="A504" s="5">
        <v>498</v>
      </c>
      <c r="B504" s="5" t="str">
        <f>"201500139868"</f>
        <v>201500139868</v>
      </c>
      <c r="C504" s="5" t="str">
        <f>"16163"</f>
        <v>16163</v>
      </c>
      <c r="D504" s="5" t="s">
        <v>2881</v>
      </c>
      <c r="E504" s="5">
        <v>20498672478</v>
      </c>
      <c r="F504" s="5" t="s">
        <v>2882</v>
      </c>
      <c r="G504" s="5" t="s">
        <v>2883</v>
      </c>
      <c r="H504" s="5" t="s">
        <v>89</v>
      </c>
      <c r="I504" s="5" t="s">
        <v>89</v>
      </c>
      <c r="J504" s="5" t="s">
        <v>309</v>
      </c>
      <c r="K504" s="5" t="s">
        <v>37</v>
      </c>
      <c r="L504" s="5" t="s">
        <v>263</v>
      </c>
      <c r="M504" s="5" t="s">
        <v>161</v>
      </c>
      <c r="N504" s="5" t="s">
        <v>161</v>
      </c>
      <c r="O504" s="5" t="s">
        <v>1367</v>
      </c>
      <c r="P504" s="5" t="s">
        <v>2884</v>
      </c>
      <c r="Q504" s="5" t="s">
        <v>2885</v>
      </c>
      <c r="R504" s="5" t="s">
        <v>2886</v>
      </c>
      <c r="S504" s="5" t="s">
        <v>2887</v>
      </c>
      <c r="T504" s="5" t="s">
        <v>2888</v>
      </c>
      <c r="U504" s="5" t="s">
        <v>2889</v>
      </c>
      <c r="V504" s="5" t="s">
        <v>94</v>
      </c>
      <c r="W504" s="5"/>
      <c r="X504" s="5"/>
      <c r="Y504" s="5"/>
      <c r="Z504" s="5"/>
      <c r="AA504" s="5">
        <v>84133</v>
      </c>
      <c r="AB504" s="5">
        <v>5000</v>
      </c>
      <c r="AC504" s="6">
        <v>42325</v>
      </c>
      <c r="AD504" s="5" t="s">
        <v>42</v>
      </c>
      <c r="AE504" s="5" t="s">
        <v>2890</v>
      </c>
      <c r="AF504" s="5">
        <v>0</v>
      </c>
    </row>
    <row r="505" spans="1:32" ht="41.95" x14ac:dyDescent="0.3">
      <c r="A505" s="3">
        <v>499</v>
      </c>
      <c r="B505" s="3" t="str">
        <f>"201800105251"</f>
        <v>201800105251</v>
      </c>
      <c r="C505" s="3" t="str">
        <f>"92154"</f>
        <v>92154</v>
      </c>
      <c r="D505" s="3" t="s">
        <v>2891</v>
      </c>
      <c r="E505" s="3">
        <v>20517453618</v>
      </c>
      <c r="F505" s="3" t="s">
        <v>2892</v>
      </c>
      <c r="G505" s="3" t="s">
        <v>2893</v>
      </c>
      <c r="H505" s="3" t="s">
        <v>36</v>
      </c>
      <c r="I505" s="3" t="s">
        <v>409</v>
      </c>
      <c r="J505" s="3" t="s">
        <v>409</v>
      </c>
      <c r="K505" s="3" t="s">
        <v>37</v>
      </c>
      <c r="L505" s="3" t="s">
        <v>2894</v>
      </c>
      <c r="M505" s="3" t="s">
        <v>103</v>
      </c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>
        <v>5000</v>
      </c>
      <c r="AB505" s="3">
        <v>2500</v>
      </c>
      <c r="AC505" s="4">
        <v>43284</v>
      </c>
      <c r="AD505" s="3" t="s">
        <v>42</v>
      </c>
      <c r="AE505" s="3" t="s">
        <v>2895</v>
      </c>
      <c r="AF505" s="3">
        <v>0</v>
      </c>
    </row>
    <row r="506" spans="1:32" ht="27.95" x14ac:dyDescent="0.3">
      <c r="A506" s="5">
        <v>500</v>
      </c>
      <c r="B506" s="5" t="str">
        <f>"201900192370"</f>
        <v>201900192370</v>
      </c>
      <c r="C506" s="5" t="str">
        <f>"9049"</f>
        <v>9049</v>
      </c>
      <c r="D506" s="5" t="s">
        <v>2896</v>
      </c>
      <c r="E506" s="5">
        <v>20524491461</v>
      </c>
      <c r="F506" s="5" t="s">
        <v>2897</v>
      </c>
      <c r="G506" s="5" t="s">
        <v>2898</v>
      </c>
      <c r="H506" s="5" t="s">
        <v>58</v>
      </c>
      <c r="I506" s="5" t="s">
        <v>58</v>
      </c>
      <c r="J506" s="5" t="s">
        <v>1756</v>
      </c>
      <c r="K506" s="5" t="s">
        <v>37</v>
      </c>
      <c r="L506" s="5" t="s">
        <v>929</v>
      </c>
      <c r="M506" s="5" t="s">
        <v>1148</v>
      </c>
      <c r="N506" s="5" t="s">
        <v>1851</v>
      </c>
      <c r="O506" s="5" t="s">
        <v>398</v>
      </c>
      <c r="P506" s="5" t="s">
        <v>62</v>
      </c>
      <c r="Q506" s="5" t="s">
        <v>381</v>
      </c>
      <c r="R506" s="5"/>
      <c r="S506" s="5"/>
      <c r="T506" s="5"/>
      <c r="U506" s="5"/>
      <c r="V506" s="5"/>
      <c r="W506" s="5"/>
      <c r="X506" s="5"/>
      <c r="Y506" s="5"/>
      <c r="Z506" s="5"/>
      <c r="AA506" s="5">
        <v>17500</v>
      </c>
      <c r="AB506" s="5">
        <v>2000</v>
      </c>
      <c r="AC506" s="6">
        <v>43791</v>
      </c>
      <c r="AD506" s="5" t="s">
        <v>42</v>
      </c>
      <c r="AE506" s="5" t="s">
        <v>2899</v>
      </c>
      <c r="AF506" s="5">
        <v>0</v>
      </c>
    </row>
    <row r="507" spans="1:32" ht="27.95" x14ac:dyDescent="0.3">
      <c r="A507" s="3">
        <v>501</v>
      </c>
      <c r="B507" s="3" t="str">
        <f>"201800169754"</f>
        <v>201800169754</v>
      </c>
      <c r="C507" s="3" t="str">
        <f>"125324"</f>
        <v>125324</v>
      </c>
      <c r="D507" s="3" t="s">
        <v>2900</v>
      </c>
      <c r="E507" s="3">
        <v>10200066109</v>
      </c>
      <c r="F507" s="3" t="s">
        <v>2901</v>
      </c>
      <c r="G507" s="3" t="s">
        <v>2902</v>
      </c>
      <c r="H507" s="3" t="s">
        <v>108</v>
      </c>
      <c r="I507" s="3" t="s">
        <v>109</v>
      </c>
      <c r="J507" s="3" t="s">
        <v>109</v>
      </c>
      <c r="K507" s="3" t="s">
        <v>37</v>
      </c>
      <c r="L507" s="3" t="s">
        <v>72</v>
      </c>
      <c r="M507" s="3" t="s">
        <v>2903</v>
      </c>
      <c r="N507" s="3" t="s">
        <v>94</v>
      </c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>
        <v>15000</v>
      </c>
      <c r="AB507" s="3">
        <v>5000</v>
      </c>
      <c r="AC507" s="4">
        <v>43388</v>
      </c>
      <c r="AD507" s="3" t="s">
        <v>42</v>
      </c>
      <c r="AE507" s="3" t="s">
        <v>2901</v>
      </c>
      <c r="AF507" s="3">
        <v>480</v>
      </c>
    </row>
    <row r="508" spans="1:32" ht="27.95" x14ac:dyDescent="0.3">
      <c r="A508" s="5">
        <v>502</v>
      </c>
      <c r="B508" s="5" t="str">
        <f>"201900004852"</f>
        <v>201900004852</v>
      </c>
      <c r="C508" s="5" t="str">
        <f>"86590"</f>
        <v>86590</v>
      </c>
      <c r="D508" s="5" t="s">
        <v>2904</v>
      </c>
      <c r="E508" s="5">
        <v>20521161559</v>
      </c>
      <c r="F508" s="5" t="s">
        <v>2905</v>
      </c>
      <c r="G508" s="5" t="s">
        <v>2906</v>
      </c>
      <c r="H508" s="5" t="s">
        <v>58</v>
      </c>
      <c r="I508" s="5" t="s">
        <v>373</v>
      </c>
      <c r="J508" s="5" t="s">
        <v>1048</v>
      </c>
      <c r="K508" s="5" t="s">
        <v>37</v>
      </c>
      <c r="L508" s="5" t="s">
        <v>166</v>
      </c>
      <c r="M508" s="5" t="s">
        <v>380</v>
      </c>
      <c r="N508" s="5" t="s">
        <v>94</v>
      </c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>
        <v>18000</v>
      </c>
      <c r="AB508" s="5">
        <v>5000</v>
      </c>
      <c r="AC508" s="6">
        <v>43479</v>
      </c>
      <c r="AD508" s="5" t="s">
        <v>42</v>
      </c>
      <c r="AE508" s="5" t="s">
        <v>2907</v>
      </c>
      <c r="AF508" s="5">
        <v>0</v>
      </c>
    </row>
    <row r="509" spans="1:32" ht="27.95" x14ac:dyDescent="0.3">
      <c r="A509" s="3">
        <v>503</v>
      </c>
      <c r="B509" s="3" t="str">
        <f>"201700020590"</f>
        <v>201700020590</v>
      </c>
      <c r="C509" s="3" t="str">
        <f>"85900"</f>
        <v>85900</v>
      </c>
      <c r="D509" s="3" t="s">
        <v>2908</v>
      </c>
      <c r="E509" s="3">
        <v>20480333005</v>
      </c>
      <c r="F509" s="3" t="s">
        <v>2909</v>
      </c>
      <c r="G509" s="3" t="s">
        <v>2910</v>
      </c>
      <c r="H509" s="3" t="s">
        <v>36</v>
      </c>
      <c r="I509" s="3" t="s">
        <v>409</v>
      </c>
      <c r="J509" s="3" t="s">
        <v>409</v>
      </c>
      <c r="K509" s="3" t="s">
        <v>37</v>
      </c>
      <c r="L509" s="3" t="s">
        <v>2911</v>
      </c>
      <c r="M509" s="3" t="s">
        <v>2911</v>
      </c>
      <c r="N509" s="3" t="s">
        <v>285</v>
      </c>
      <c r="O509" s="3" t="s">
        <v>174</v>
      </c>
      <c r="P509" s="3" t="s">
        <v>171</v>
      </c>
      <c r="Q509" s="3" t="s">
        <v>78</v>
      </c>
      <c r="R509" s="3"/>
      <c r="S509" s="3"/>
      <c r="T509" s="3"/>
      <c r="U509" s="3"/>
      <c r="V509" s="3"/>
      <c r="W509" s="3"/>
      <c r="X509" s="3"/>
      <c r="Y509" s="3"/>
      <c r="Z509" s="3"/>
      <c r="AA509" s="3">
        <v>30470</v>
      </c>
      <c r="AB509" s="3">
        <v>3200</v>
      </c>
      <c r="AC509" s="4">
        <v>42780</v>
      </c>
      <c r="AD509" s="3" t="s">
        <v>42</v>
      </c>
      <c r="AE509" s="3" t="s">
        <v>2912</v>
      </c>
      <c r="AF509" s="3">
        <v>0</v>
      </c>
    </row>
    <row r="510" spans="1:32" ht="27.95" x14ac:dyDescent="0.3">
      <c r="A510" s="5">
        <v>504</v>
      </c>
      <c r="B510" s="5" t="str">
        <f>"201900140957"</f>
        <v>201900140957</v>
      </c>
      <c r="C510" s="5" t="str">
        <f>"116999"</f>
        <v>116999</v>
      </c>
      <c r="D510" s="5" t="s">
        <v>2913</v>
      </c>
      <c r="E510" s="5">
        <v>20604542678</v>
      </c>
      <c r="F510" s="5" t="s">
        <v>2914</v>
      </c>
      <c r="G510" s="5" t="s">
        <v>2915</v>
      </c>
      <c r="H510" s="5" t="s">
        <v>58</v>
      </c>
      <c r="I510" s="5" t="s">
        <v>823</v>
      </c>
      <c r="J510" s="5" t="s">
        <v>2916</v>
      </c>
      <c r="K510" s="5" t="s">
        <v>37</v>
      </c>
      <c r="L510" s="5" t="s">
        <v>1739</v>
      </c>
      <c r="M510" s="5" t="s">
        <v>277</v>
      </c>
      <c r="N510" s="5" t="s">
        <v>313</v>
      </c>
      <c r="O510" s="5" t="s">
        <v>312</v>
      </c>
      <c r="P510" s="5" t="s">
        <v>275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>
        <v>23500</v>
      </c>
      <c r="AB510" s="5">
        <v>3200</v>
      </c>
      <c r="AC510" s="6">
        <v>43714</v>
      </c>
      <c r="AD510" s="5" t="s">
        <v>42</v>
      </c>
      <c r="AE510" s="5" t="s">
        <v>2917</v>
      </c>
      <c r="AF510" s="5">
        <v>0</v>
      </c>
    </row>
    <row r="511" spans="1:32" ht="27.95" x14ac:dyDescent="0.3">
      <c r="A511" s="3">
        <v>505</v>
      </c>
      <c r="B511" s="3" t="str">
        <f>"201900179184"</f>
        <v>201900179184</v>
      </c>
      <c r="C511" s="3" t="str">
        <f>"21793"</f>
        <v>21793</v>
      </c>
      <c r="D511" s="3" t="s">
        <v>2918</v>
      </c>
      <c r="E511" s="3">
        <v>20568846886</v>
      </c>
      <c r="F511" s="3" t="s">
        <v>2919</v>
      </c>
      <c r="G511" s="3" t="s">
        <v>2920</v>
      </c>
      <c r="H511" s="3" t="s">
        <v>108</v>
      </c>
      <c r="I511" s="3" t="s">
        <v>144</v>
      </c>
      <c r="J511" s="3" t="s">
        <v>779</v>
      </c>
      <c r="K511" s="3" t="s">
        <v>37</v>
      </c>
      <c r="L511" s="3" t="s">
        <v>61</v>
      </c>
      <c r="M511" s="3" t="s">
        <v>2921</v>
      </c>
      <c r="N511" s="3" t="s">
        <v>72</v>
      </c>
      <c r="O511" s="3" t="s">
        <v>66</v>
      </c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>
        <v>24000</v>
      </c>
      <c r="AB511" s="3">
        <v>4500</v>
      </c>
      <c r="AC511" s="4">
        <v>43773</v>
      </c>
      <c r="AD511" s="3" t="s">
        <v>42</v>
      </c>
      <c r="AE511" s="3" t="s">
        <v>2922</v>
      </c>
      <c r="AF511" s="3">
        <v>240</v>
      </c>
    </row>
    <row r="512" spans="1:32" ht="27.95" x14ac:dyDescent="0.3">
      <c r="A512" s="5">
        <v>506</v>
      </c>
      <c r="B512" s="5" t="str">
        <f>"201600121061"</f>
        <v>201600121061</v>
      </c>
      <c r="C512" s="5" t="str">
        <f>"9502"</f>
        <v>9502</v>
      </c>
      <c r="D512" s="5" t="s">
        <v>2923</v>
      </c>
      <c r="E512" s="5">
        <v>20200636458</v>
      </c>
      <c r="F512" s="5" t="s">
        <v>2924</v>
      </c>
      <c r="G512" s="5" t="s">
        <v>2925</v>
      </c>
      <c r="H512" s="5" t="s">
        <v>116</v>
      </c>
      <c r="I512" s="5" t="s">
        <v>339</v>
      </c>
      <c r="J512" s="5" t="s">
        <v>339</v>
      </c>
      <c r="K512" s="5" t="s">
        <v>37</v>
      </c>
      <c r="L512" s="5" t="s">
        <v>2926</v>
      </c>
      <c r="M512" s="5" t="s">
        <v>2338</v>
      </c>
      <c r="N512" s="5" t="s">
        <v>669</v>
      </c>
      <c r="O512" s="5" t="s">
        <v>2338</v>
      </c>
      <c r="P512" s="5" t="s">
        <v>2338</v>
      </c>
      <c r="Q512" s="5" t="s">
        <v>2338</v>
      </c>
      <c r="R512" s="5" t="s">
        <v>682</v>
      </c>
      <c r="S512" s="5" t="s">
        <v>120</v>
      </c>
      <c r="T512" s="5"/>
      <c r="U512" s="5"/>
      <c r="V512" s="5"/>
      <c r="W512" s="5"/>
      <c r="X512" s="5"/>
      <c r="Y512" s="5"/>
      <c r="Z512" s="5"/>
      <c r="AA512" s="5">
        <v>45500</v>
      </c>
      <c r="AB512" s="5">
        <v>3500</v>
      </c>
      <c r="AC512" s="6">
        <v>42606</v>
      </c>
      <c r="AD512" s="5" t="s">
        <v>42</v>
      </c>
      <c r="AE512" s="5" t="s">
        <v>2927</v>
      </c>
      <c r="AF512" s="5">
        <v>720</v>
      </c>
    </row>
    <row r="513" spans="1:32" ht="27.95" x14ac:dyDescent="0.3">
      <c r="A513" s="3">
        <v>507</v>
      </c>
      <c r="B513" s="3" t="str">
        <f>"201900059065"</f>
        <v>201900059065</v>
      </c>
      <c r="C513" s="3" t="str">
        <f>"125639"</f>
        <v>125639</v>
      </c>
      <c r="D513" s="3" t="s">
        <v>2928</v>
      </c>
      <c r="E513" s="3">
        <v>20603847564</v>
      </c>
      <c r="F513" s="3" t="s">
        <v>2929</v>
      </c>
      <c r="G513" s="3" t="s">
        <v>2930</v>
      </c>
      <c r="H513" s="3" t="s">
        <v>116</v>
      </c>
      <c r="I513" s="3" t="s">
        <v>339</v>
      </c>
      <c r="J513" s="3" t="s">
        <v>2931</v>
      </c>
      <c r="K513" s="3" t="s">
        <v>37</v>
      </c>
      <c r="L513" s="3" t="s">
        <v>63</v>
      </c>
      <c r="M513" s="3" t="s">
        <v>263</v>
      </c>
      <c r="N513" s="3" t="s">
        <v>161</v>
      </c>
      <c r="O513" s="3" t="s">
        <v>94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>
        <v>18000</v>
      </c>
      <c r="AB513" s="3">
        <v>5000</v>
      </c>
      <c r="AC513" s="4">
        <v>43571</v>
      </c>
      <c r="AD513" s="3" t="s">
        <v>42</v>
      </c>
      <c r="AE513" s="3" t="s">
        <v>2932</v>
      </c>
      <c r="AF513" s="3">
        <v>720</v>
      </c>
    </row>
    <row r="514" spans="1:32" ht="27.95" x14ac:dyDescent="0.3">
      <c r="A514" s="5">
        <v>508</v>
      </c>
      <c r="B514" s="5" t="str">
        <f>"201600154655"</f>
        <v>201600154655</v>
      </c>
      <c r="C514" s="5" t="str">
        <f>"41283"</f>
        <v>41283</v>
      </c>
      <c r="D514" s="5" t="s">
        <v>2933</v>
      </c>
      <c r="E514" s="5">
        <v>20503840121</v>
      </c>
      <c r="F514" s="5" t="s">
        <v>442</v>
      </c>
      <c r="G514" s="5" t="s">
        <v>2934</v>
      </c>
      <c r="H514" s="5" t="s">
        <v>58</v>
      </c>
      <c r="I514" s="5" t="s">
        <v>823</v>
      </c>
      <c r="J514" s="5" t="s">
        <v>823</v>
      </c>
      <c r="K514" s="5" t="s">
        <v>37</v>
      </c>
      <c r="L514" s="5" t="s">
        <v>557</v>
      </c>
      <c r="M514" s="5" t="s">
        <v>74</v>
      </c>
      <c r="N514" s="5" t="s">
        <v>664</v>
      </c>
      <c r="O514" s="5" t="s">
        <v>62</v>
      </c>
      <c r="P514" s="5" t="s">
        <v>2935</v>
      </c>
      <c r="Q514" s="5" t="s">
        <v>94</v>
      </c>
      <c r="R514" s="5"/>
      <c r="S514" s="5"/>
      <c r="T514" s="5"/>
      <c r="U514" s="5"/>
      <c r="V514" s="5"/>
      <c r="W514" s="5"/>
      <c r="X514" s="5"/>
      <c r="Y514" s="5"/>
      <c r="Z514" s="5"/>
      <c r="AA514" s="5">
        <v>19244</v>
      </c>
      <c r="AB514" s="5">
        <v>5000</v>
      </c>
      <c r="AC514" s="6">
        <v>42673</v>
      </c>
      <c r="AD514" s="5" t="s">
        <v>42</v>
      </c>
      <c r="AE514" s="5" t="s">
        <v>399</v>
      </c>
      <c r="AF514" s="5">
        <v>0</v>
      </c>
    </row>
    <row r="515" spans="1:32" ht="27.95" x14ac:dyDescent="0.3">
      <c r="A515" s="3">
        <v>509</v>
      </c>
      <c r="B515" s="3" t="str">
        <f>"202000056841"</f>
        <v>202000056841</v>
      </c>
      <c r="C515" s="3" t="str">
        <f>"9447"</f>
        <v>9447</v>
      </c>
      <c r="D515" s="3" t="s">
        <v>2936</v>
      </c>
      <c r="E515" s="3">
        <v>20316056017</v>
      </c>
      <c r="F515" s="3" t="s">
        <v>2937</v>
      </c>
      <c r="G515" s="3" t="s">
        <v>2938</v>
      </c>
      <c r="H515" s="3" t="s">
        <v>187</v>
      </c>
      <c r="I515" s="3" t="s">
        <v>187</v>
      </c>
      <c r="J515" s="3" t="s">
        <v>187</v>
      </c>
      <c r="K515" s="3" t="s">
        <v>37</v>
      </c>
      <c r="L515" s="3" t="s">
        <v>2939</v>
      </c>
      <c r="M515" s="3" t="s">
        <v>1530</v>
      </c>
      <c r="N515" s="3" t="s">
        <v>2499</v>
      </c>
      <c r="O515" s="3" t="s">
        <v>72</v>
      </c>
      <c r="P515" s="3" t="s">
        <v>397</v>
      </c>
      <c r="Q515" s="3" t="s">
        <v>120</v>
      </c>
      <c r="R515" s="3"/>
      <c r="S515" s="3"/>
      <c r="T515" s="3"/>
      <c r="U515" s="3"/>
      <c r="V515" s="3"/>
      <c r="W515" s="3"/>
      <c r="X515" s="3"/>
      <c r="Y515" s="3"/>
      <c r="Z515" s="3"/>
      <c r="AA515" s="3">
        <v>28600</v>
      </c>
      <c r="AB515" s="3">
        <v>3500</v>
      </c>
      <c r="AC515" s="4">
        <v>43970</v>
      </c>
      <c r="AD515" s="3" t="s">
        <v>42</v>
      </c>
      <c r="AE515" s="3" t="s">
        <v>2940</v>
      </c>
      <c r="AF515" s="3">
        <v>0</v>
      </c>
    </row>
    <row r="516" spans="1:32" ht="27.95" x14ac:dyDescent="0.3">
      <c r="A516" s="5">
        <v>510</v>
      </c>
      <c r="B516" s="5" t="str">
        <f>"201900198873"</f>
        <v>201900198873</v>
      </c>
      <c r="C516" s="5" t="str">
        <f>"131391"</f>
        <v>131391</v>
      </c>
      <c r="D516" s="5" t="s">
        <v>2941</v>
      </c>
      <c r="E516" s="5">
        <v>20600038487</v>
      </c>
      <c r="F516" s="5" t="s">
        <v>2942</v>
      </c>
      <c r="G516" s="5" t="s">
        <v>2943</v>
      </c>
      <c r="H516" s="5" t="s">
        <v>47</v>
      </c>
      <c r="I516" s="5" t="s">
        <v>290</v>
      </c>
      <c r="J516" s="5" t="s">
        <v>2186</v>
      </c>
      <c r="K516" s="5" t="s">
        <v>37</v>
      </c>
      <c r="L516" s="5" t="s">
        <v>63</v>
      </c>
      <c r="M516" s="5" t="s">
        <v>1568</v>
      </c>
      <c r="N516" s="5" t="s">
        <v>555</v>
      </c>
      <c r="O516" s="5" t="s">
        <v>78</v>
      </c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>
        <v>15000</v>
      </c>
      <c r="AB516" s="5">
        <v>3200</v>
      </c>
      <c r="AC516" s="6">
        <v>43802</v>
      </c>
      <c r="AD516" s="5" t="s">
        <v>42</v>
      </c>
      <c r="AE516" s="5" t="s">
        <v>2944</v>
      </c>
      <c r="AF516" s="5">
        <v>0</v>
      </c>
    </row>
    <row r="517" spans="1:32" x14ac:dyDescent="0.3">
      <c r="A517" s="3">
        <v>511</v>
      </c>
      <c r="B517" s="3" t="str">
        <f>"201900066929"</f>
        <v>201900066929</v>
      </c>
      <c r="C517" s="3" t="str">
        <f>"9123"</f>
        <v>9123</v>
      </c>
      <c r="D517" s="3" t="s">
        <v>2945</v>
      </c>
      <c r="E517" s="3">
        <v>20458378747</v>
      </c>
      <c r="F517" s="3" t="s">
        <v>680</v>
      </c>
      <c r="G517" s="3" t="s">
        <v>2946</v>
      </c>
      <c r="H517" s="3" t="s">
        <v>36</v>
      </c>
      <c r="I517" s="3" t="s">
        <v>409</v>
      </c>
      <c r="J517" s="3" t="s">
        <v>738</v>
      </c>
      <c r="K517" s="3" t="s">
        <v>37</v>
      </c>
      <c r="L517" s="3" t="s">
        <v>2947</v>
      </c>
      <c r="M517" s="3" t="s">
        <v>2948</v>
      </c>
      <c r="N517" s="3" t="s">
        <v>2949</v>
      </c>
      <c r="O517" s="3" t="s">
        <v>2950</v>
      </c>
      <c r="P517" s="3" t="s">
        <v>2951</v>
      </c>
      <c r="Q517" s="3" t="s">
        <v>2952</v>
      </c>
      <c r="R517" s="3"/>
      <c r="S517" s="3"/>
      <c r="T517" s="3"/>
      <c r="U517" s="3"/>
      <c r="V517" s="3"/>
      <c r="W517" s="3"/>
      <c r="X517" s="3"/>
      <c r="Y517" s="3"/>
      <c r="Z517" s="3"/>
      <c r="AA517" s="3">
        <v>17744</v>
      </c>
      <c r="AB517" s="3">
        <v>2700</v>
      </c>
      <c r="AC517" s="4">
        <v>43620</v>
      </c>
      <c r="AD517" s="3" t="s">
        <v>42</v>
      </c>
      <c r="AE517" s="3" t="s">
        <v>685</v>
      </c>
      <c r="AF517" s="3">
        <v>720</v>
      </c>
    </row>
    <row r="518" spans="1:32" ht="41.95" x14ac:dyDescent="0.3">
      <c r="A518" s="5">
        <v>512</v>
      </c>
      <c r="B518" s="5" t="str">
        <f>"202000126465"</f>
        <v>202000126465</v>
      </c>
      <c r="C518" s="5" t="str">
        <f>"40544"</f>
        <v>40544</v>
      </c>
      <c r="D518" s="5" t="s">
        <v>2953</v>
      </c>
      <c r="E518" s="5">
        <v>20228985237</v>
      </c>
      <c r="F518" s="5" t="s">
        <v>2667</v>
      </c>
      <c r="G518" s="5" t="s">
        <v>2954</v>
      </c>
      <c r="H518" s="5" t="s">
        <v>89</v>
      </c>
      <c r="I518" s="5" t="s">
        <v>89</v>
      </c>
      <c r="J518" s="5" t="s">
        <v>2955</v>
      </c>
      <c r="K518" s="5" t="s">
        <v>37</v>
      </c>
      <c r="L518" s="5" t="s">
        <v>2956</v>
      </c>
      <c r="M518" s="5" t="s">
        <v>2957</v>
      </c>
      <c r="N518" s="5" t="s">
        <v>2958</v>
      </c>
      <c r="O518" s="5" t="s">
        <v>2959</v>
      </c>
      <c r="P518" s="5" t="s">
        <v>2960</v>
      </c>
      <c r="Q518" s="5" t="s">
        <v>103</v>
      </c>
      <c r="R518" s="5"/>
      <c r="S518" s="5"/>
      <c r="T518" s="5"/>
      <c r="U518" s="5"/>
      <c r="V518" s="5"/>
      <c r="W518" s="5"/>
      <c r="X518" s="5"/>
      <c r="Y518" s="5"/>
      <c r="Z518" s="5"/>
      <c r="AA518" s="5">
        <v>14599</v>
      </c>
      <c r="AB518" s="5">
        <v>2500</v>
      </c>
      <c r="AC518" s="6">
        <v>44098</v>
      </c>
      <c r="AD518" s="5" t="s">
        <v>42</v>
      </c>
      <c r="AE518" s="5" t="s">
        <v>2160</v>
      </c>
      <c r="AF518" s="5">
        <v>0</v>
      </c>
    </row>
    <row r="519" spans="1:32" ht="41.95" x14ac:dyDescent="0.3">
      <c r="A519" s="3">
        <v>513</v>
      </c>
      <c r="B519" s="3" t="str">
        <f>"201900007125"</f>
        <v>201900007125</v>
      </c>
      <c r="C519" s="3" t="str">
        <f>"33678"</f>
        <v>33678</v>
      </c>
      <c r="D519" s="3" t="s">
        <v>2961</v>
      </c>
      <c r="E519" s="3">
        <v>20510511655</v>
      </c>
      <c r="F519" s="3" t="s">
        <v>2962</v>
      </c>
      <c r="G519" s="3" t="s">
        <v>2963</v>
      </c>
      <c r="H519" s="3" t="s">
        <v>58</v>
      </c>
      <c r="I519" s="3" t="s">
        <v>58</v>
      </c>
      <c r="J519" s="3" t="s">
        <v>1756</v>
      </c>
      <c r="K519" s="3" t="s">
        <v>37</v>
      </c>
      <c r="L519" s="3" t="s">
        <v>2964</v>
      </c>
      <c r="M519" s="3" t="s">
        <v>2965</v>
      </c>
      <c r="N519" s="3" t="s">
        <v>2966</v>
      </c>
      <c r="O519" s="3" t="s">
        <v>103</v>
      </c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>
        <v>17990</v>
      </c>
      <c r="AB519" s="3">
        <v>2500</v>
      </c>
      <c r="AC519" s="4">
        <v>43482</v>
      </c>
      <c r="AD519" s="3" t="s">
        <v>42</v>
      </c>
      <c r="AE519" s="3" t="s">
        <v>2534</v>
      </c>
      <c r="AF519" s="3">
        <v>0</v>
      </c>
    </row>
    <row r="520" spans="1:32" ht="27.95" x14ac:dyDescent="0.3">
      <c r="A520" s="5">
        <v>514</v>
      </c>
      <c r="B520" s="5" t="str">
        <f>"201900115531"</f>
        <v>201900115531</v>
      </c>
      <c r="C520" s="5" t="str">
        <f>"84062"</f>
        <v>84062</v>
      </c>
      <c r="D520" s="5" t="s">
        <v>2967</v>
      </c>
      <c r="E520" s="5">
        <v>20604178704</v>
      </c>
      <c r="F520" s="5" t="s">
        <v>2968</v>
      </c>
      <c r="G520" s="5" t="s">
        <v>2969</v>
      </c>
      <c r="H520" s="5" t="s">
        <v>219</v>
      </c>
      <c r="I520" s="5" t="s">
        <v>220</v>
      </c>
      <c r="J520" s="5" t="s">
        <v>220</v>
      </c>
      <c r="K520" s="5" t="s">
        <v>37</v>
      </c>
      <c r="L520" s="5" t="s">
        <v>2970</v>
      </c>
      <c r="M520" s="5" t="s">
        <v>2971</v>
      </c>
      <c r="N520" s="5" t="s">
        <v>94</v>
      </c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>
        <v>12000</v>
      </c>
      <c r="AB520" s="5">
        <v>5000</v>
      </c>
      <c r="AC520" s="6">
        <v>43677</v>
      </c>
      <c r="AD520" s="5" t="s">
        <v>42</v>
      </c>
      <c r="AE520" s="5" t="s">
        <v>2972</v>
      </c>
      <c r="AF520" s="5">
        <v>0</v>
      </c>
    </row>
    <row r="521" spans="1:32" x14ac:dyDescent="0.3">
      <c r="A521" s="3">
        <v>515</v>
      </c>
      <c r="B521" s="3" t="str">
        <f>"201700056440"</f>
        <v>201700056440</v>
      </c>
      <c r="C521" s="3" t="str">
        <f>"8720"</f>
        <v>8720</v>
      </c>
      <c r="D521" s="3" t="s">
        <v>2973</v>
      </c>
      <c r="E521" s="3">
        <v>10040637911</v>
      </c>
      <c r="F521" s="3" t="s">
        <v>2974</v>
      </c>
      <c r="G521" s="3" t="s">
        <v>2975</v>
      </c>
      <c r="H521" s="3" t="s">
        <v>532</v>
      </c>
      <c r="I521" s="3" t="s">
        <v>532</v>
      </c>
      <c r="J521" s="3" t="s">
        <v>2100</v>
      </c>
      <c r="K521" s="3" t="s">
        <v>37</v>
      </c>
      <c r="L521" s="3" t="s">
        <v>2976</v>
      </c>
      <c r="M521" s="3" t="s">
        <v>1637</v>
      </c>
      <c r="N521" s="3" t="s">
        <v>120</v>
      </c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>
        <v>7000</v>
      </c>
      <c r="AB521" s="3">
        <v>3500</v>
      </c>
      <c r="AC521" s="4">
        <v>42844</v>
      </c>
      <c r="AD521" s="3" t="s">
        <v>42</v>
      </c>
      <c r="AE521" s="3" t="s">
        <v>2974</v>
      </c>
      <c r="AF521" s="3">
        <v>0</v>
      </c>
    </row>
    <row r="522" spans="1:32" ht="27.95" x14ac:dyDescent="0.3">
      <c r="A522" s="5">
        <v>516</v>
      </c>
      <c r="B522" s="5" t="str">
        <f>"201900123649"</f>
        <v>201900123649</v>
      </c>
      <c r="C522" s="5" t="str">
        <f>"99596"</f>
        <v>99596</v>
      </c>
      <c r="D522" s="5" t="s">
        <v>2977</v>
      </c>
      <c r="E522" s="5">
        <v>20568499043</v>
      </c>
      <c r="F522" s="5" t="s">
        <v>2978</v>
      </c>
      <c r="G522" s="5" t="s">
        <v>2979</v>
      </c>
      <c r="H522" s="5" t="s">
        <v>108</v>
      </c>
      <c r="I522" s="5" t="s">
        <v>598</v>
      </c>
      <c r="J522" s="5" t="s">
        <v>598</v>
      </c>
      <c r="K522" s="5" t="s">
        <v>37</v>
      </c>
      <c r="L522" s="5" t="s">
        <v>166</v>
      </c>
      <c r="M522" s="5" t="s">
        <v>102</v>
      </c>
      <c r="N522" s="5" t="s">
        <v>2980</v>
      </c>
      <c r="O522" s="5" t="s">
        <v>174</v>
      </c>
      <c r="P522" s="5" t="s">
        <v>94</v>
      </c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>
        <v>24000</v>
      </c>
      <c r="AB522" s="5">
        <v>5000</v>
      </c>
      <c r="AC522" s="6">
        <v>43678</v>
      </c>
      <c r="AD522" s="5" t="s">
        <v>42</v>
      </c>
      <c r="AE522" s="5" t="s">
        <v>2981</v>
      </c>
      <c r="AF522" s="5">
        <v>0</v>
      </c>
    </row>
    <row r="523" spans="1:32" ht="27.95" x14ac:dyDescent="0.3">
      <c r="A523" s="3">
        <v>517</v>
      </c>
      <c r="B523" s="3" t="str">
        <f>"201900207955"</f>
        <v>201900207955</v>
      </c>
      <c r="C523" s="3" t="str">
        <f>"8581"</f>
        <v>8581</v>
      </c>
      <c r="D523" s="3" t="s">
        <v>2982</v>
      </c>
      <c r="E523" s="3">
        <v>20511230935</v>
      </c>
      <c r="F523" s="3" t="s">
        <v>1181</v>
      </c>
      <c r="G523" s="3" t="s">
        <v>2983</v>
      </c>
      <c r="H523" s="3" t="s">
        <v>58</v>
      </c>
      <c r="I523" s="3" t="s">
        <v>554</v>
      </c>
      <c r="J523" s="3" t="s">
        <v>554</v>
      </c>
      <c r="K523" s="3" t="s">
        <v>37</v>
      </c>
      <c r="L523" s="3" t="s">
        <v>555</v>
      </c>
      <c r="M523" s="3" t="s">
        <v>1007</v>
      </c>
      <c r="N523" s="3" t="s">
        <v>2984</v>
      </c>
      <c r="O523" s="3" t="s">
        <v>2985</v>
      </c>
      <c r="P523" s="3" t="s">
        <v>103</v>
      </c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>
        <v>16642</v>
      </c>
      <c r="AB523" s="3">
        <v>2500</v>
      </c>
      <c r="AC523" s="4">
        <v>43822</v>
      </c>
      <c r="AD523" s="3" t="s">
        <v>42</v>
      </c>
      <c r="AE523" s="3" t="s">
        <v>2986</v>
      </c>
      <c r="AF523" s="3">
        <v>0</v>
      </c>
    </row>
    <row r="524" spans="1:32" ht="27.95" x14ac:dyDescent="0.3">
      <c r="A524" s="5">
        <v>518</v>
      </c>
      <c r="B524" s="5" t="str">
        <f>"201600123429"</f>
        <v>201600123429</v>
      </c>
      <c r="C524" s="5" t="str">
        <f>"18353"</f>
        <v>18353</v>
      </c>
      <c r="D524" s="5" t="s">
        <v>2987</v>
      </c>
      <c r="E524" s="5">
        <v>20275873480</v>
      </c>
      <c r="F524" s="5" t="s">
        <v>695</v>
      </c>
      <c r="G524" s="5" t="s">
        <v>2988</v>
      </c>
      <c r="H524" s="5" t="s">
        <v>219</v>
      </c>
      <c r="I524" s="5" t="s">
        <v>220</v>
      </c>
      <c r="J524" s="5" t="s">
        <v>220</v>
      </c>
      <c r="K524" s="5" t="s">
        <v>37</v>
      </c>
      <c r="L524" s="5" t="s">
        <v>278</v>
      </c>
      <c r="M524" s="5" t="s">
        <v>1279</v>
      </c>
      <c r="N524" s="5" t="s">
        <v>2989</v>
      </c>
      <c r="O524" s="5" t="s">
        <v>2990</v>
      </c>
      <c r="P524" s="5" t="s">
        <v>1387</v>
      </c>
      <c r="Q524" s="5" t="s">
        <v>1745</v>
      </c>
      <c r="R524" s="5"/>
      <c r="S524" s="5"/>
      <c r="T524" s="5"/>
      <c r="U524" s="5"/>
      <c r="V524" s="5"/>
      <c r="W524" s="5"/>
      <c r="X524" s="5"/>
      <c r="Y524" s="5"/>
      <c r="Z524" s="5"/>
      <c r="AA524" s="5">
        <v>14400</v>
      </c>
      <c r="AB524" s="5">
        <v>5000</v>
      </c>
      <c r="AC524" s="6">
        <v>42613</v>
      </c>
      <c r="AD524" s="5" t="s">
        <v>42</v>
      </c>
      <c r="AE524" s="5" t="s">
        <v>699</v>
      </c>
      <c r="AF524" s="5">
        <v>0</v>
      </c>
    </row>
    <row r="525" spans="1:32" x14ac:dyDescent="0.3">
      <c r="A525" s="3">
        <v>519</v>
      </c>
      <c r="B525" s="3" t="str">
        <f>"201700132763"</f>
        <v>201700132763</v>
      </c>
      <c r="C525" s="3" t="str">
        <f>"7616"</f>
        <v>7616</v>
      </c>
      <c r="D525" s="3" t="s">
        <v>2991</v>
      </c>
      <c r="E525" s="3">
        <v>20480513674</v>
      </c>
      <c r="F525" s="3" t="s">
        <v>2992</v>
      </c>
      <c r="G525" s="3" t="s">
        <v>2993</v>
      </c>
      <c r="H525" s="3" t="s">
        <v>134</v>
      </c>
      <c r="I525" s="3" t="s">
        <v>135</v>
      </c>
      <c r="J525" s="3" t="s">
        <v>135</v>
      </c>
      <c r="K525" s="3" t="s">
        <v>37</v>
      </c>
      <c r="L525" s="3" t="s">
        <v>2399</v>
      </c>
      <c r="M525" s="3" t="s">
        <v>174</v>
      </c>
      <c r="N525" s="3" t="s">
        <v>172</v>
      </c>
      <c r="O525" s="3" t="s">
        <v>2994</v>
      </c>
      <c r="P525" s="3" t="s">
        <v>78</v>
      </c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>
        <v>13600</v>
      </c>
      <c r="AB525" s="3">
        <v>3200</v>
      </c>
      <c r="AC525" s="4">
        <v>42969</v>
      </c>
      <c r="AD525" s="3" t="s">
        <v>42</v>
      </c>
      <c r="AE525" s="3" t="s">
        <v>2995</v>
      </c>
      <c r="AF525" s="3">
        <v>0</v>
      </c>
    </row>
    <row r="526" spans="1:32" ht="27.95" x14ac:dyDescent="0.3">
      <c r="A526" s="5">
        <v>520</v>
      </c>
      <c r="B526" s="5" t="str">
        <f>"202000058437"</f>
        <v>202000058437</v>
      </c>
      <c r="C526" s="5" t="str">
        <f>"83154"</f>
        <v>83154</v>
      </c>
      <c r="D526" s="5" t="s">
        <v>2996</v>
      </c>
      <c r="E526" s="5">
        <v>20602009328</v>
      </c>
      <c r="F526" s="5" t="s">
        <v>2997</v>
      </c>
      <c r="G526" s="5" t="s">
        <v>2998</v>
      </c>
      <c r="H526" s="5" t="s">
        <v>150</v>
      </c>
      <c r="I526" s="5" t="s">
        <v>2999</v>
      </c>
      <c r="J526" s="5" t="s">
        <v>2999</v>
      </c>
      <c r="K526" s="5" t="s">
        <v>37</v>
      </c>
      <c r="L526" s="5" t="s">
        <v>3000</v>
      </c>
      <c r="M526" s="5" t="s">
        <v>3001</v>
      </c>
      <c r="N526" s="5" t="s">
        <v>3001</v>
      </c>
      <c r="O526" s="5" t="s">
        <v>387</v>
      </c>
      <c r="P526" s="5" t="s">
        <v>387</v>
      </c>
      <c r="Q526" s="5" t="s">
        <v>78</v>
      </c>
      <c r="R526" s="5"/>
      <c r="S526" s="5"/>
      <c r="T526" s="5"/>
      <c r="U526" s="5"/>
      <c r="V526" s="5"/>
      <c r="W526" s="5"/>
      <c r="X526" s="5"/>
      <c r="Y526" s="5"/>
      <c r="Z526" s="5"/>
      <c r="AA526" s="5">
        <v>45000</v>
      </c>
      <c r="AB526" s="5">
        <v>3200</v>
      </c>
      <c r="AC526" s="6">
        <v>43973</v>
      </c>
      <c r="AD526" s="5" t="s">
        <v>42</v>
      </c>
      <c r="AE526" s="5" t="s">
        <v>3002</v>
      </c>
      <c r="AF526" s="5">
        <v>0</v>
      </c>
    </row>
    <row r="527" spans="1:32" ht="41.95" x14ac:dyDescent="0.3">
      <c r="A527" s="3">
        <v>521</v>
      </c>
      <c r="B527" s="3" t="str">
        <f>"201800007702"</f>
        <v>201800007702</v>
      </c>
      <c r="C527" s="3" t="str">
        <f>"44840"</f>
        <v>44840</v>
      </c>
      <c r="D527" s="3" t="s">
        <v>3003</v>
      </c>
      <c r="E527" s="3">
        <v>20502794052</v>
      </c>
      <c r="F527" s="3" t="s">
        <v>3004</v>
      </c>
      <c r="G527" s="3" t="s">
        <v>3005</v>
      </c>
      <c r="H527" s="3" t="s">
        <v>116</v>
      </c>
      <c r="I527" s="3" t="s">
        <v>339</v>
      </c>
      <c r="J527" s="3" t="s">
        <v>340</v>
      </c>
      <c r="K527" s="3" t="s">
        <v>37</v>
      </c>
      <c r="L527" s="3" t="s">
        <v>3006</v>
      </c>
      <c r="M527" s="3" t="s">
        <v>3007</v>
      </c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>
        <v>5000</v>
      </c>
      <c r="AB527" s="3">
        <v>2000</v>
      </c>
      <c r="AC527" s="4">
        <v>43117</v>
      </c>
      <c r="AD527" s="3" t="s">
        <v>42</v>
      </c>
      <c r="AE527" s="3" t="s">
        <v>2142</v>
      </c>
      <c r="AF527" s="3">
        <v>0</v>
      </c>
    </row>
    <row r="528" spans="1:32" ht="27.95" x14ac:dyDescent="0.3">
      <c r="A528" s="5">
        <v>522</v>
      </c>
      <c r="B528" s="5" t="str">
        <f>"201900117361"</f>
        <v>201900117361</v>
      </c>
      <c r="C528" s="5" t="str">
        <f>"127672"</f>
        <v>127672</v>
      </c>
      <c r="D528" s="5" t="s">
        <v>3008</v>
      </c>
      <c r="E528" s="5">
        <v>20601253608</v>
      </c>
      <c r="F528" s="5" t="s">
        <v>3009</v>
      </c>
      <c r="G528" s="5" t="s">
        <v>3010</v>
      </c>
      <c r="H528" s="5" t="s">
        <v>108</v>
      </c>
      <c r="I528" s="5" t="s">
        <v>598</v>
      </c>
      <c r="J528" s="5" t="s">
        <v>598</v>
      </c>
      <c r="K528" s="5" t="s">
        <v>37</v>
      </c>
      <c r="L528" s="5" t="s">
        <v>166</v>
      </c>
      <c r="M528" s="5" t="s">
        <v>3011</v>
      </c>
      <c r="N528" s="5" t="s">
        <v>51</v>
      </c>
      <c r="O528" s="5" t="s">
        <v>94</v>
      </c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>
        <v>25000</v>
      </c>
      <c r="AB528" s="5">
        <v>5000</v>
      </c>
      <c r="AC528" s="6">
        <v>43668</v>
      </c>
      <c r="AD528" s="5" t="s">
        <v>42</v>
      </c>
      <c r="AE528" s="5" t="s">
        <v>3012</v>
      </c>
      <c r="AF528" s="5">
        <v>0</v>
      </c>
    </row>
    <row r="529" spans="1:32" ht="27.95" x14ac:dyDescent="0.3">
      <c r="A529" s="3">
        <v>523</v>
      </c>
      <c r="B529" s="3" t="str">
        <f>"202000114916"</f>
        <v>202000114916</v>
      </c>
      <c r="C529" s="3" t="str">
        <f>"9354"</f>
        <v>9354</v>
      </c>
      <c r="D529" s="3" t="s">
        <v>3013</v>
      </c>
      <c r="E529" s="3">
        <v>20530920632</v>
      </c>
      <c r="F529" s="3" t="s">
        <v>3014</v>
      </c>
      <c r="G529" s="3" t="s">
        <v>3015</v>
      </c>
      <c r="H529" s="3" t="s">
        <v>58</v>
      </c>
      <c r="I529" s="3" t="s">
        <v>498</v>
      </c>
      <c r="J529" s="3" t="s">
        <v>1938</v>
      </c>
      <c r="K529" s="3" t="s">
        <v>37</v>
      </c>
      <c r="L529" s="3" t="s">
        <v>247</v>
      </c>
      <c r="M529" s="3" t="s">
        <v>76</v>
      </c>
      <c r="N529" s="3" t="s">
        <v>3016</v>
      </c>
      <c r="O529" s="3" t="s">
        <v>248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>
        <v>12000</v>
      </c>
      <c r="AB529" s="3">
        <v>3000</v>
      </c>
      <c r="AC529" s="4">
        <v>44085</v>
      </c>
      <c r="AD529" s="3" t="s">
        <v>42</v>
      </c>
      <c r="AE529" s="3" t="s">
        <v>3017</v>
      </c>
      <c r="AF529" s="3">
        <v>480</v>
      </c>
    </row>
    <row r="530" spans="1:32" ht="27.95" x14ac:dyDescent="0.3">
      <c r="A530" s="5">
        <v>524</v>
      </c>
      <c r="B530" s="5" t="str">
        <f>"201900204375"</f>
        <v>201900204375</v>
      </c>
      <c r="C530" s="5" t="str">
        <f>"19923"</f>
        <v>19923</v>
      </c>
      <c r="D530" s="5" t="s">
        <v>3018</v>
      </c>
      <c r="E530" s="5">
        <v>20127765279</v>
      </c>
      <c r="F530" s="5" t="s">
        <v>1115</v>
      </c>
      <c r="G530" s="5" t="s">
        <v>3019</v>
      </c>
      <c r="H530" s="5" t="s">
        <v>219</v>
      </c>
      <c r="I530" s="5" t="s">
        <v>220</v>
      </c>
      <c r="J530" s="5" t="s">
        <v>1729</v>
      </c>
      <c r="K530" s="5" t="s">
        <v>37</v>
      </c>
      <c r="L530" s="5" t="s">
        <v>3020</v>
      </c>
      <c r="M530" s="5" t="s">
        <v>3021</v>
      </c>
      <c r="N530" s="5" t="s">
        <v>1530</v>
      </c>
      <c r="O530" s="5" t="s">
        <v>2498</v>
      </c>
      <c r="P530" s="5" t="s">
        <v>2060</v>
      </c>
      <c r="Q530" s="5" t="s">
        <v>2499</v>
      </c>
      <c r="R530" s="5" t="s">
        <v>3022</v>
      </c>
      <c r="S530" s="5" t="s">
        <v>3023</v>
      </c>
      <c r="T530" s="5"/>
      <c r="U530" s="5"/>
      <c r="V530" s="5"/>
      <c r="W530" s="5"/>
      <c r="X530" s="5"/>
      <c r="Y530" s="5"/>
      <c r="Z530" s="5"/>
      <c r="AA530" s="5">
        <v>46800</v>
      </c>
      <c r="AB530" s="5">
        <v>3900</v>
      </c>
      <c r="AC530" s="6">
        <v>43811</v>
      </c>
      <c r="AD530" s="5" t="s">
        <v>42</v>
      </c>
      <c r="AE530" s="5" t="s">
        <v>279</v>
      </c>
      <c r="AF530" s="5">
        <v>240</v>
      </c>
    </row>
    <row r="531" spans="1:32" ht="27.95" x14ac:dyDescent="0.3">
      <c r="A531" s="3">
        <v>525</v>
      </c>
      <c r="B531" s="3" t="str">
        <f>"201900204374"</f>
        <v>201900204374</v>
      </c>
      <c r="C531" s="3" t="str">
        <f>"16771"</f>
        <v>16771</v>
      </c>
      <c r="D531" s="3" t="s">
        <v>3024</v>
      </c>
      <c r="E531" s="3">
        <v>20127765279</v>
      </c>
      <c r="F531" s="3" t="s">
        <v>1115</v>
      </c>
      <c r="G531" s="3" t="s">
        <v>3025</v>
      </c>
      <c r="H531" s="3" t="s">
        <v>219</v>
      </c>
      <c r="I531" s="3" t="s">
        <v>220</v>
      </c>
      <c r="J531" s="3" t="s">
        <v>220</v>
      </c>
      <c r="K531" s="3" t="s">
        <v>37</v>
      </c>
      <c r="L531" s="3" t="s">
        <v>51</v>
      </c>
      <c r="M531" s="3" t="s">
        <v>50</v>
      </c>
      <c r="N531" s="3" t="s">
        <v>49</v>
      </c>
      <c r="O531" s="3" t="s">
        <v>477</v>
      </c>
      <c r="P531" s="3" t="s">
        <v>570</v>
      </c>
      <c r="Q531" s="3" t="s">
        <v>247</v>
      </c>
      <c r="R531" s="3" t="s">
        <v>248</v>
      </c>
      <c r="S531" s="3"/>
      <c r="T531" s="3"/>
      <c r="U531" s="3"/>
      <c r="V531" s="3"/>
      <c r="W531" s="3"/>
      <c r="X531" s="3"/>
      <c r="Y531" s="3"/>
      <c r="Z531" s="3"/>
      <c r="AA531" s="3">
        <v>25000</v>
      </c>
      <c r="AB531" s="3">
        <v>3000</v>
      </c>
      <c r="AC531" s="4">
        <v>43811</v>
      </c>
      <c r="AD531" s="3" t="s">
        <v>42</v>
      </c>
      <c r="AE531" s="3" t="s">
        <v>279</v>
      </c>
      <c r="AF531" s="3">
        <v>720</v>
      </c>
    </row>
    <row r="532" spans="1:32" x14ac:dyDescent="0.3">
      <c r="A532" s="5">
        <v>526</v>
      </c>
      <c r="B532" s="5" t="str">
        <f>"201600154649"</f>
        <v>201600154649</v>
      </c>
      <c r="C532" s="5" t="str">
        <f>"6951"</f>
        <v>6951</v>
      </c>
      <c r="D532" s="5" t="s">
        <v>3026</v>
      </c>
      <c r="E532" s="5">
        <v>20503840121</v>
      </c>
      <c r="F532" s="5" t="s">
        <v>442</v>
      </c>
      <c r="G532" s="5" t="s">
        <v>3027</v>
      </c>
      <c r="H532" s="5" t="s">
        <v>58</v>
      </c>
      <c r="I532" s="5" t="s">
        <v>823</v>
      </c>
      <c r="J532" s="5" t="s">
        <v>2916</v>
      </c>
      <c r="K532" s="5" t="s">
        <v>37</v>
      </c>
      <c r="L532" s="5" t="s">
        <v>174</v>
      </c>
      <c r="M532" s="5" t="s">
        <v>3028</v>
      </c>
      <c r="N532" s="5" t="s">
        <v>263</v>
      </c>
      <c r="O532" s="5" t="s">
        <v>162</v>
      </c>
      <c r="P532" s="5" t="s">
        <v>94</v>
      </c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>
        <v>31800</v>
      </c>
      <c r="AB532" s="5">
        <v>5000</v>
      </c>
      <c r="AC532" s="6">
        <v>42695</v>
      </c>
      <c r="AD532" s="5" t="s">
        <v>42</v>
      </c>
      <c r="AE532" s="5" t="s">
        <v>399</v>
      </c>
      <c r="AF532" s="5">
        <v>0</v>
      </c>
    </row>
    <row r="533" spans="1:32" ht="27.95" x14ac:dyDescent="0.3">
      <c r="A533" s="3">
        <v>527</v>
      </c>
      <c r="B533" s="3" t="str">
        <f>"201700077875"</f>
        <v>201700077875</v>
      </c>
      <c r="C533" s="3" t="str">
        <f>"128675"</f>
        <v>128675</v>
      </c>
      <c r="D533" s="3" t="s">
        <v>3029</v>
      </c>
      <c r="E533" s="3">
        <v>20601029741</v>
      </c>
      <c r="F533" s="3" t="s">
        <v>3030</v>
      </c>
      <c r="G533" s="3" t="s">
        <v>3031</v>
      </c>
      <c r="H533" s="3" t="s">
        <v>58</v>
      </c>
      <c r="I533" s="3" t="s">
        <v>58</v>
      </c>
      <c r="J533" s="3" t="s">
        <v>545</v>
      </c>
      <c r="K533" s="3" t="s">
        <v>37</v>
      </c>
      <c r="L533" s="3" t="s">
        <v>3032</v>
      </c>
      <c r="M533" s="3" t="s">
        <v>3032</v>
      </c>
      <c r="N533" s="3" t="s">
        <v>3033</v>
      </c>
      <c r="O533" s="3" t="s">
        <v>3034</v>
      </c>
      <c r="P533" s="3" t="s">
        <v>3035</v>
      </c>
      <c r="Q533" s="3" t="s">
        <v>1790</v>
      </c>
      <c r="R533" s="3"/>
      <c r="S533" s="3"/>
      <c r="T533" s="3"/>
      <c r="U533" s="3"/>
      <c r="V533" s="3"/>
      <c r="W533" s="3"/>
      <c r="X533" s="3"/>
      <c r="Y533" s="3"/>
      <c r="Z533" s="3"/>
      <c r="AA533" s="3">
        <v>31270</v>
      </c>
      <c r="AB533" s="3">
        <v>5800</v>
      </c>
      <c r="AC533" s="4">
        <v>42902</v>
      </c>
      <c r="AD533" s="3" t="s">
        <v>42</v>
      </c>
      <c r="AE533" s="3" t="s">
        <v>3036</v>
      </c>
      <c r="AF533" s="3">
        <v>720</v>
      </c>
    </row>
    <row r="534" spans="1:32" ht="27.95" x14ac:dyDescent="0.3">
      <c r="A534" s="5">
        <v>528</v>
      </c>
      <c r="B534" s="5" t="str">
        <f>"201900086584"</f>
        <v>201900086584</v>
      </c>
      <c r="C534" s="5" t="str">
        <f>"86146"</f>
        <v>86146</v>
      </c>
      <c r="D534" s="5" t="s">
        <v>3037</v>
      </c>
      <c r="E534" s="5">
        <v>20543597211</v>
      </c>
      <c r="F534" s="5" t="s">
        <v>3038</v>
      </c>
      <c r="G534" s="5" t="s">
        <v>3039</v>
      </c>
      <c r="H534" s="5" t="s">
        <v>58</v>
      </c>
      <c r="I534" s="5" t="s">
        <v>58</v>
      </c>
      <c r="J534" s="5" t="s">
        <v>2562</v>
      </c>
      <c r="K534" s="5" t="s">
        <v>37</v>
      </c>
      <c r="L534" s="5" t="s">
        <v>3040</v>
      </c>
      <c r="M534" s="5" t="s">
        <v>3041</v>
      </c>
      <c r="N534" s="5" t="s">
        <v>3042</v>
      </c>
      <c r="O534" s="5" t="s">
        <v>3043</v>
      </c>
      <c r="P534" s="5" t="s">
        <v>3044</v>
      </c>
      <c r="Q534" s="5" t="s">
        <v>3045</v>
      </c>
      <c r="R534" s="5" t="s">
        <v>78</v>
      </c>
      <c r="S534" s="5"/>
      <c r="T534" s="5"/>
      <c r="U534" s="5"/>
      <c r="V534" s="5"/>
      <c r="W534" s="5"/>
      <c r="X534" s="5"/>
      <c r="Y534" s="5"/>
      <c r="Z534" s="5"/>
      <c r="AA534" s="5">
        <v>22288</v>
      </c>
      <c r="AB534" s="5">
        <v>3200</v>
      </c>
      <c r="AC534" s="6">
        <v>43615</v>
      </c>
      <c r="AD534" s="5" t="s">
        <v>42</v>
      </c>
      <c r="AE534" s="5" t="s">
        <v>3046</v>
      </c>
      <c r="AF534" s="5">
        <v>0</v>
      </c>
    </row>
    <row r="535" spans="1:32" ht="27.95" x14ac:dyDescent="0.3">
      <c r="A535" s="3">
        <v>529</v>
      </c>
      <c r="B535" s="3" t="str">
        <f>"201800141225"</f>
        <v>201800141225</v>
      </c>
      <c r="C535" s="3" t="str">
        <f>"14687"</f>
        <v>14687</v>
      </c>
      <c r="D535" s="3" t="s">
        <v>3047</v>
      </c>
      <c r="E535" s="3">
        <v>20508778849</v>
      </c>
      <c r="F535" s="3" t="s">
        <v>3048</v>
      </c>
      <c r="G535" s="3" t="s">
        <v>3049</v>
      </c>
      <c r="H535" s="3" t="s">
        <v>58</v>
      </c>
      <c r="I535" s="3" t="s">
        <v>58</v>
      </c>
      <c r="J535" s="3" t="s">
        <v>403</v>
      </c>
      <c r="K535" s="3" t="s">
        <v>37</v>
      </c>
      <c r="L535" s="3" t="s">
        <v>63</v>
      </c>
      <c r="M535" s="3" t="s">
        <v>628</v>
      </c>
      <c r="N535" s="3" t="s">
        <v>1866</v>
      </c>
      <c r="O535" s="3" t="s">
        <v>390</v>
      </c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>
        <v>18000</v>
      </c>
      <c r="AB535" s="3">
        <v>5200</v>
      </c>
      <c r="AC535" s="4">
        <v>43337</v>
      </c>
      <c r="AD535" s="3" t="s">
        <v>42</v>
      </c>
      <c r="AE535" s="3" t="s">
        <v>3050</v>
      </c>
      <c r="AF535" s="3">
        <v>360</v>
      </c>
    </row>
    <row r="536" spans="1:32" ht="41.95" x14ac:dyDescent="0.3">
      <c r="A536" s="5">
        <v>530</v>
      </c>
      <c r="B536" s="5" t="str">
        <f>"201600127364"</f>
        <v>201600127364</v>
      </c>
      <c r="C536" s="5" t="str">
        <f>"120106"</f>
        <v>120106</v>
      </c>
      <c r="D536" s="5" t="s">
        <v>3051</v>
      </c>
      <c r="E536" s="5">
        <v>20486785307</v>
      </c>
      <c r="F536" s="5" t="s">
        <v>803</v>
      </c>
      <c r="G536" s="5" t="s">
        <v>3052</v>
      </c>
      <c r="H536" s="5" t="s">
        <v>108</v>
      </c>
      <c r="I536" s="5" t="s">
        <v>144</v>
      </c>
      <c r="J536" s="5" t="s">
        <v>144</v>
      </c>
      <c r="K536" s="5" t="s">
        <v>37</v>
      </c>
      <c r="L536" s="5" t="s">
        <v>72</v>
      </c>
      <c r="M536" s="5" t="s">
        <v>499</v>
      </c>
      <c r="N536" s="5" t="s">
        <v>1745</v>
      </c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>
        <v>16000</v>
      </c>
      <c r="AB536" s="5">
        <v>5000</v>
      </c>
      <c r="AC536" s="6">
        <v>42620</v>
      </c>
      <c r="AD536" s="5" t="s">
        <v>42</v>
      </c>
      <c r="AE536" s="5" t="s">
        <v>806</v>
      </c>
      <c r="AF536" s="5">
        <v>0</v>
      </c>
    </row>
    <row r="537" spans="1:32" ht="27.95" x14ac:dyDescent="0.3">
      <c r="A537" s="3">
        <v>531</v>
      </c>
      <c r="B537" s="3" t="str">
        <f>"201800099530"</f>
        <v>201800099530</v>
      </c>
      <c r="C537" s="3" t="str">
        <f>"135710"</f>
        <v>135710</v>
      </c>
      <c r="D537" s="3" t="s">
        <v>3053</v>
      </c>
      <c r="E537" s="3">
        <v>20600271904</v>
      </c>
      <c r="F537" s="3" t="s">
        <v>3054</v>
      </c>
      <c r="G537" s="3" t="s">
        <v>3055</v>
      </c>
      <c r="H537" s="3" t="s">
        <v>47</v>
      </c>
      <c r="I537" s="3" t="s">
        <v>290</v>
      </c>
      <c r="J537" s="3" t="s">
        <v>626</v>
      </c>
      <c r="K537" s="3" t="s">
        <v>37</v>
      </c>
      <c r="L537" s="3" t="s">
        <v>459</v>
      </c>
      <c r="M537" s="3" t="s">
        <v>296</v>
      </c>
      <c r="N537" s="3" t="s">
        <v>238</v>
      </c>
      <c r="O537" s="3" t="s">
        <v>76</v>
      </c>
      <c r="P537" s="3" t="s">
        <v>3056</v>
      </c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>
        <v>9000</v>
      </c>
      <c r="AB537" s="3">
        <v>2750</v>
      </c>
      <c r="AC537" s="4">
        <v>43269</v>
      </c>
      <c r="AD537" s="3" t="s">
        <v>42</v>
      </c>
      <c r="AE537" s="3" t="s">
        <v>3057</v>
      </c>
      <c r="AF537" s="3">
        <v>0</v>
      </c>
    </row>
    <row r="538" spans="1:32" ht="27.95" x14ac:dyDescent="0.3">
      <c r="A538" s="5">
        <v>532</v>
      </c>
      <c r="B538" s="5" t="str">
        <f>"201800186030"</f>
        <v>201800186030</v>
      </c>
      <c r="C538" s="5" t="str">
        <f>"39850"</f>
        <v>39850</v>
      </c>
      <c r="D538" s="5" t="s">
        <v>3058</v>
      </c>
      <c r="E538" s="5">
        <v>20127765279</v>
      </c>
      <c r="F538" s="5" t="s">
        <v>1115</v>
      </c>
      <c r="G538" s="5" t="s">
        <v>3059</v>
      </c>
      <c r="H538" s="5" t="s">
        <v>219</v>
      </c>
      <c r="I538" s="5" t="s">
        <v>220</v>
      </c>
      <c r="J538" s="5" t="s">
        <v>220</v>
      </c>
      <c r="K538" s="5" t="s">
        <v>37</v>
      </c>
      <c r="L538" s="5" t="s">
        <v>72</v>
      </c>
      <c r="M538" s="5" t="s">
        <v>72</v>
      </c>
      <c r="N538" s="5" t="s">
        <v>174</v>
      </c>
      <c r="O538" s="5" t="s">
        <v>174</v>
      </c>
      <c r="P538" s="5" t="s">
        <v>166</v>
      </c>
      <c r="Q538" s="5" t="s">
        <v>166</v>
      </c>
      <c r="R538" s="5" t="s">
        <v>1016</v>
      </c>
      <c r="S538" s="5" t="s">
        <v>78</v>
      </c>
      <c r="T538" s="5"/>
      <c r="U538" s="5"/>
      <c r="V538" s="5"/>
      <c r="W538" s="5"/>
      <c r="X538" s="5"/>
      <c r="Y538" s="5"/>
      <c r="Z538" s="5"/>
      <c r="AA538" s="5">
        <v>54000</v>
      </c>
      <c r="AB538" s="5">
        <v>3200</v>
      </c>
      <c r="AC538" s="6">
        <v>43417</v>
      </c>
      <c r="AD538" s="5" t="s">
        <v>42</v>
      </c>
      <c r="AE538" s="5" t="s">
        <v>279</v>
      </c>
      <c r="AF538" s="5">
        <v>720</v>
      </c>
    </row>
    <row r="539" spans="1:32" ht="27.95" x14ac:dyDescent="0.3">
      <c r="A539" s="3">
        <v>533</v>
      </c>
      <c r="B539" s="3" t="str">
        <f>"201800211557"</f>
        <v>201800211557</v>
      </c>
      <c r="C539" s="3" t="str">
        <f>"63516"</f>
        <v>63516</v>
      </c>
      <c r="D539" s="3" t="s">
        <v>3060</v>
      </c>
      <c r="E539" s="3">
        <v>20600454626</v>
      </c>
      <c r="F539" s="3" t="s">
        <v>3061</v>
      </c>
      <c r="G539" s="3" t="s">
        <v>3062</v>
      </c>
      <c r="H539" s="3" t="s">
        <v>125</v>
      </c>
      <c r="I539" s="3" t="s">
        <v>125</v>
      </c>
      <c r="J539" s="3" t="s">
        <v>1381</v>
      </c>
      <c r="K539" s="3" t="s">
        <v>37</v>
      </c>
      <c r="L539" s="3" t="s">
        <v>102</v>
      </c>
      <c r="M539" s="3" t="s">
        <v>1239</v>
      </c>
      <c r="N539" s="3" t="s">
        <v>174</v>
      </c>
      <c r="O539" s="3" t="s">
        <v>494</v>
      </c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>
        <v>14000</v>
      </c>
      <c r="AB539" s="3">
        <v>3400</v>
      </c>
      <c r="AC539" s="4">
        <v>43461</v>
      </c>
      <c r="AD539" s="3" t="s">
        <v>42</v>
      </c>
      <c r="AE539" s="3" t="s">
        <v>534</v>
      </c>
      <c r="AF539" s="3">
        <v>720</v>
      </c>
    </row>
    <row r="540" spans="1:32" ht="27.95" x14ac:dyDescent="0.3">
      <c r="A540" s="5">
        <v>534</v>
      </c>
      <c r="B540" s="5" t="str">
        <f>"202000078697"</f>
        <v>202000078697</v>
      </c>
      <c r="C540" s="5" t="str">
        <f>"7832"</f>
        <v>7832</v>
      </c>
      <c r="D540" s="5" t="s">
        <v>3063</v>
      </c>
      <c r="E540" s="5">
        <v>20600722469</v>
      </c>
      <c r="F540" s="5" t="s">
        <v>3064</v>
      </c>
      <c r="G540" s="5" t="s">
        <v>3065</v>
      </c>
      <c r="H540" s="5" t="s">
        <v>116</v>
      </c>
      <c r="I540" s="5" t="s">
        <v>339</v>
      </c>
      <c r="J540" s="5" t="s">
        <v>612</v>
      </c>
      <c r="K540" s="5" t="s">
        <v>37</v>
      </c>
      <c r="L540" s="5" t="s">
        <v>1866</v>
      </c>
      <c r="M540" s="5" t="s">
        <v>3066</v>
      </c>
      <c r="N540" s="5" t="s">
        <v>3066</v>
      </c>
      <c r="O540" s="5" t="s">
        <v>3067</v>
      </c>
      <c r="P540" s="5" t="s">
        <v>120</v>
      </c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>
        <v>19050</v>
      </c>
      <c r="AB540" s="5">
        <v>3500</v>
      </c>
      <c r="AC540" s="6">
        <v>44025</v>
      </c>
      <c r="AD540" s="5" t="s">
        <v>42</v>
      </c>
      <c r="AE540" s="5" t="s">
        <v>2279</v>
      </c>
      <c r="AF540" s="5">
        <v>0</v>
      </c>
    </row>
    <row r="541" spans="1:32" ht="27.95" x14ac:dyDescent="0.3">
      <c r="A541" s="3">
        <v>535</v>
      </c>
      <c r="B541" s="3" t="str">
        <f>"201800085948"</f>
        <v>201800085948</v>
      </c>
      <c r="C541" s="3" t="str">
        <f>"100010"</f>
        <v>100010</v>
      </c>
      <c r="D541" s="3" t="s">
        <v>3068</v>
      </c>
      <c r="E541" s="3">
        <v>20494106893</v>
      </c>
      <c r="F541" s="3" t="s">
        <v>3069</v>
      </c>
      <c r="G541" s="3" t="s">
        <v>3070</v>
      </c>
      <c r="H541" s="3" t="s">
        <v>150</v>
      </c>
      <c r="I541" s="3" t="s">
        <v>151</v>
      </c>
      <c r="J541" s="3" t="s">
        <v>151</v>
      </c>
      <c r="K541" s="3" t="s">
        <v>37</v>
      </c>
      <c r="L541" s="3" t="s">
        <v>387</v>
      </c>
      <c r="M541" s="3" t="s">
        <v>3071</v>
      </c>
      <c r="N541" s="3" t="s">
        <v>94</v>
      </c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>
        <v>18000</v>
      </c>
      <c r="AB541" s="3">
        <v>5000</v>
      </c>
      <c r="AC541" s="4">
        <v>43252</v>
      </c>
      <c r="AD541" s="3" t="s">
        <v>42</v>
      </c>
      <c r="AE541" s="3" t="s">
        <v>3072</v>
      </c>
      <c r="AF541" s="3">
        <v>480</v>
      </c>
    </row>
    <row r="542" spans="1:32" x14ac:dyDescent="0.3">
      <c r="A542" s="5">
        <v>536</v>
      </c>
      <c r="B542" s="5" t="str">
        <f>"201900047397"</f>
        <v>201900047397</v>
      </c>
      <c r="C542" s="5" t="str">
        <f>"140905"</f>
        <v>140905</v>
      </c>
      <c r="D542" s="5" t="s">
        <v>3073</v>
      </c>
      <c r="E542" s="5">
        <v>20602392229</v>
      </c>
      <c r="F542" s="5" t="s">
        <v>3074</v>
      </c>
      <c r="G542" s="5" t="s">
        <v>3075</v>
      </c>
      <c r="H542" s="5" t="s">
        <v>116</v>
      </c>
      <c r="I542" s="5" t="s">
        <v>339</v>
      </c>
      <c r="J542" s="5" t="s">
        <v>340</v>
      </c>
      <c r="K542" s="5" t="s">
        <v>37</v>
      </c>
      <c r="L542" s="5" t="s">
        <v>74</v>
      </c>
      <c r="M542" s="5" t="s">
        <v>3076</v>
      </c>
      <c r="N542" s="5" t="s">
        <v>460</v>
      </c>
      <c r="O542" s="5" t="s">
        <v>3077</v>
      </c>
      <c r="P542" s="5" t="s">
        <v>78</v>
      </c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7200</v>
      </c>
      <c r="AB542" s="5">
        <v>3200</v>
      </c>
      <c r="AC542" s="6">
        <v>43556</v>
      </c>
      <c r="AD542" s="5" t="s">
        <v>42</v>
      </c>
      <c r="AE542" s="5" t="s">
        <v>3078</v>
      </c>
      <c r="AF542" s="5">
        <v>0</v>
      </c>
    </row>
    <row r="543" spans="1:32" ht="27.95" x14ac:dyDescent="0.3">
      <c r="A543" s="3">
        <v>537</v>
      </c>
      <c r="B543" s="3" t="str">
        <f>"201900204380"</f>
        <v>201900204380</v>
      </c>
      <c r="C543" s="3" t="str">
        <f>"8588"</f>
        <v>8588</v>
      </c>
      <c r="D543" s="3" t="s">
        <v>3079</v>
      </c>
      <c r="E543" s="3">
        <v>20127765279</v>
      </c>
      <c r="F543" s="3" t="s">
        <v>1115</v>
      </c>
      <c r="G543" s="3" t="s">
        <v>3080</v>
      </c>
      <c r="H543" s="3" t="s">
        <v>187</v>
      </c>
      <c r="I543" s="3" t="s">
        <v>187</v>
      </c>
      <c r="J543" s="3" t="s">
        <v>357</v>
      </c>
      <c r="K543" s="3" t="s">
        <v>37</v>
      </c>
      <c r="L543" s="3" t="s">
        <v>63</v>
      </c>
      <c r="M543" s="3" t="s">
        <v>161</v>
      </c>
      <c r="N543" s="3" t="s">
        <v>1111</v>
      </c>
      <c r="O543" s="3" t="s">
        <v>555</v>
      </c>
      <c r="P543" s="3" t="s">
        <v>3081</v>
      </c>
      <c r="Q543" s="3" t="s">
        <v>103</v>
      </c>
      <c r="R543" s="3"/>
      <c r="S543" s="3"/>
      <c r="T543" s="3"/>
      <c r="U543" s="3"/>
      <c r="V543" s="3"/>
      <c r="W543" s="3"/>
      <c r="X543" s="3"/>
      <c r="Y543" s="3"/>
      <c r="Z543" s="3"/>
      <c r="AA543" s="3">
        <v>23800</v>
      </c>
      <c r="AB543" s="3">
        <v>2500</v>
      </c>
      <c r="AC543" s="4">
        <v>43813</v>
      </c>
      <c r="AD543" s="3" t="s">
        <v>42</v>
      </c>
      <c r="AE543" s="3" t="s">
        <v>279</v>
      </c>
      <c r="AF543" s="3">
        <v>720</v>
      </c>
    </row>
    <row r="544" spans="1:32" x14ac:dyDescent="0.3">
      <c r="A544" s="5">
        <v>538</v>
      </c>
      <c r="B544" s="5" t="str">
        <f>"201800085944"</f>
        <v>201800085944</v>
      </c>
      <c r="C544" s="5" t="str">
        <f>"135772"</f>
        <v>135772</v>
      </c>
      <c r="D544" s="5" t="s">
        <v>3082</v>
      </c>
      <c r="E544" s="5">
        <v>20494106893</v>
      </c>
      <c r="F544" s="5" t="s">
        <v>3069</v>
      </c>
      <c r="G544" s="5" t="s">
        <v>3083</v>
      </c>
      <c r="H544" s="5" t="s">
        <v>150</v>
      </c>
      <c r="I544" s="5" t="s">
        <v>151</v>
      </c>
      <c r="J544" s="5" t="s">
        <v>151</v>
      </c>
      <c r="K544" s="5" t="s">
        <v>37</v>
      </c>
      <c r="L544" s="5" t="s">
        <v>3084</v>
      </c>
      <c r="M544" s="5" t="s">
        <v>3000</v>
      </c>
      <c r="N544" s="5" t="s">
        <v>387</v>
      </c>
      <c r="O544" s="5" t="s">
        <v>387</v>
      </c>
      <c r="P544" s="5" t="s">
        <v>41</v>
      </c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>
        <v>36000</v>
      </c>
      <c r="AB544" s="5">
        <v>10000</v>
      </c>
      <c r="AC544" s="6">
        <v>43252</v>
      </c>
      <c r="AD544" s="5" t="s">
        <v>42</v>
      </c>
      <c r="AE544" s="5" t="s">
        <v>3072</v>
      </c>
      <c r="AF544" s="5">
        <v>720</v>
      </c>
    </row>
    <row r="545" spans="1:32" ht="41.95" x14ac:dyDescent="0.3">
      <c r="A545" s="3">
        <v>539</v>
      </c>
      <c r="B545" s="3" t="str">
        <f>"201900115541"</f>
        <v>201900115541</v>
      </c>
      <c r="C545" s="3" t="str">
        <f>"117789"</f>
        <v>117789</v>
      </c>
      <c r="D545" s="3" t="s">
        <v>3085</v>
      </c>
      <c r="E545" s="3">
        <v>20604178704</v>
      </c>
      <c r="F545" s="3" t="s">
        <v>2968</v>
      </c>
      <c r="G545" s="3" t="s">
        <v>3086</v>
      </c>
      <c r="H545" s="3" t="s">
        <v>219</v>
      </c>
      <c r="I545" s="3" t="s">
        <v>220</v>
      </c>
      <c r="J545" s="3" t="s">
        <v>220</v>
      </c>
      <c r="K545" s="3" t="s">
        <v>37</v>
      </c>
      <c r="L545" s="3" t="s">
        <v>63</v>
      </c>
      <c r="M545" s="3" t="s">
        <v>51</v>
      </c>
      <c r="N545" s="3" t="s">
        <v>76</v>
      </c>
      <c r="O545" s="3" t="s">
        <v>66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>
        <v>13000</v>
      </c>
      <c r="AB545" s="3">
        <v>4500</v>
      </c>
      <c r="AC545" s="4">
        <v>43677</v>
      </c>
      <c r="AD545" s="3" t="s">
        <v>42</v>
      </c>
      <c r="AE545" s="3" t="s">
        <v>2972</v>
      </c>
      <c r="AF545" s="3">
        <v>0</v>
      </c>
    </row>
    <row r="546" spans="1:32" ht="27.95" x14ac:dyDescent="0.3">
      <c r="A546" s="5">
        <v>540</v>
      </c>
      <c r="B546" s="5" t="str">
        <f>"201900204365"</f>
        <v>201900204365</v>
      </c>
      <c r="C546" s="5" t="str">
        <f>"21047"</f>
        <v>21047</v>
      </c>
      <c r="D546" s="5" t="s">
        <v>3087</v>
      </c>
      <c r="E546" s="5">
        <v>20127765279</v>
      </c>
      <c r="F546" s="5" t="s">
        <v>1115</v>
      </c>
      <c r="G546" s="5" t="s">
        <v>3088</v>
      </c>
      <c r="H546" s="5" t="s">
        <v>89</v>
      </c>
      <c r="I546" s="5" t="s">
        <v>89</v>
      </c>
      <c r="J546" s="5" t="s">
        <v>309</v>
      </c>
      <c r="K546" s="5" t="s">
        <v>37</v>
      </c>
      <c r="L546" s="5" t="s">
        <v>3089</v>
      </c>
      <c r="M546" s="5" t="s">
        <v>3090</v>
      </c>
      <c r="N546" s="5" t="s">
        <v>3091</v>
      </c>
      <c r="O546" s="5" t="s">
        <v>836</v>
      </c>
      <c r="P546" s="5" t="s">
        <v>3092</v>
      </c>
      <c r="Q546" s="5" t="s">
        <v>120</v>
      </c>
      <c r="R546" s="5"/>
      <c r="S546" s="5"/>
      <c r="T546" s="5"/>
      <c r="U546" s="5"/>
      <c r="V546" s="5"/>
      <c r="W546" s="5"/>
      <c r="X546" s="5"/>
      <c r="Y546" s="5"/>
      <c r="Z546" s="5"/>
      <c r="AA546" s="5">
        <v>27659</v>
      </c>
      <c r="AB546" s="5">
        <v>3500</v>
      </c>
      <c r="AC546" s="6">
        <v>43810</v>
      </c>
      <c r="AD546" s="5" t="s">
        <v>42</v>
      </c>
      <c r="AE546" s="5" t="s">
        <v>279</v>
      </c>
      <c r="AF546" s="5">
        <v>240</v>
      </c>
    </row>
    <row r="547" spans="1:32" ht="27.95" x14ac:dyDescent="0.3">
      <c r="A547" s="3">
        <v>541</v>
      </c>
      <c r="B547" s="3" t="str">
        <f>"201900060657"</f>
        <v>201900060657</v>
      </c>
      <c r="C547" s="3" t="str">
        <f>"142634"</f>
        <v>142634</v>
      </c>
      <c r="D547" s="3" t="s">
        <v>3093</v>
      </c>
      <c r="E547" s="3">
        <v>10462168727</v>
      </c>
      <c r="F547" s="3" t="s">
        <v>3094</v>
      </c>
      <c r="G547" s="3" t="s">
        <v>3095</v>
      </c>
      <c r="H547" s="3" t="s">
        <v>125</v>
      </c>
      <c r="I547" s="3" t="s">
        <v>125</v>
      </c>
      <c r="J547" s="3" t="s">
        <v>126</v>
      </c>
      <c r="K547" s="3" t="s">
        <v>37</v>
      </c>
      <c r="L547" s="3" t="s">
        <v>63</v>
      </c>
      <c r="M547" s="3" t="s">
        <v>3096</v>
      </c>
      <c r="N547" s="3" t="s">
        <v>94</v>
      </c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>
        <v>12000</v>
      </c>
      <c r="AB547" s="3">
        <v>5000</v>
      </c>
      <c r="AC547" s="4">
        <v>43574</v>
      </c>
      <c r="AD547" s="3" t="s">
        <v>42</v>
      </c>
      <c r="AE547" s="3" t="s">
        <v>3094</v>
      </c>
      <c r="AF547" s="3">
        <v>0</v>
      </c>
    </row>
    <row r="548" spans="1:32" ht="27.95" x14ac:dyDescent="0.3">
      <c r="A548" s="5">
        <v>542</v>
      </c>
      <c r="B548" s="5" t="str">
        <f>"201800162215"</f>
        <v>201800162215</v>
      </c>
      <c r="C548" s="5" t="str">
        <f>"19897"</f>
        <v>19897</v>
      </c>
      <c r="D548" s="5" t="s">
        <v>3097</v>
      </c>
      <c r="E548" s="5">
        <v>20523750705</v>
      </c>
      <c r="F548" s="5" t="s">
        <v>3098</v>
      </c>
      <c r="G548" s="5" t="s">
        <v>3099</v>
      </c>
      <c r="H548" s="5" t="s">
        <v>108</v>
      </c>
      <c r="I548" s="5" t="s">
        <v>144</v>
      </c>
      <c r="J548" s="5" t="s">
        <v>145</v>
      </c>
      <c r="K548" s="5" t="s">
        <v>37</v>
      </c>
      <c r="L548" s="5" t="s">
        <v>3100</v>
      </c>
      <c r="M548" s="5" t="s">
        <v>3101</v>
      </c>
      <c r="N548" s="5" t="s">
        <v>3100</v>
      </c>
      <c r="O548" s="5" t="s">
        <v>3102</v>
      </c>
      <c r="P548" s="5" t="s">
        <v>94</v>
      </c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>
        <v>26550</v>
      </c>
      <c r="AB548" s="5">
        <v>5000</v>
      </c>
      <c r="AC548" s="6">
        <v>43375</v>
      </c>
      <c r="AD548" s="5" t="s">
        <v>42</v>
      </c>
      <c r="AE548" s="5" t="s">
        <v>3103</v>
      </c>
      <c r="AF548" s="5">
        <v>0</v>
      </c>
    </row>
    <row r="549" spans="1:32" ht="27.95" x14ac:dyDescent="0.3">
      <c r="A549" s="3">
        <v>543</v>
      </c>
      <c r="B549" s="3" t="str">
        <f>"201700001257"</f>
        <v>201700001257</v>
      </c>
      <c r="C549" s="3" t="str">
        <f>"93088"</f>
        <v>93088</v>
      </c>
      <c r="D549" s="3" t="s">
        <v>3104</v>
      </c>
      <c r="E549" s="3">
        <v>20458378747</v>
      </c>
      <c r="F549" s="3" t="s">
        <v>680</v>
      </c>
      <c r="G549" s="3" t="s">
        <v>3105</v>
      </c>
      <c r="H549" s="3" t="s">
        <v>36</v>
      </c>
      <c r="I549" s="3" t="s">
        <v>409</v>
      </c>
      <c r="J549" s="3" t="s">
        <v>3106</v>
      </c>
      <c r="K549" s="3" t="s">
        <v>37</v>
      </c>
      <c r="L549" s="3" t="s">
        <v>3107</v>
      </c>
      <c r="M549" s="3" t="s">
        <v>3108</v>
      </c>
      <c r="N549" s="3" t="s">
        <v>3109</v>
      </c>
      <c r="O549" s="3" t="s">
        <v>76</v>
      </c>
      <c r="P549" s="3" t="s">
        <v>78</v>
      </c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>
        <v>9534</v>
      </c>
      <c r="AB549" s="3">
        <v>3200</v>
      </c>
      <c r="AC549" s="4">
        <v>42745</v>
      </c>
      <c r="AD549" s="3" t="s">
        <v>42</v>
      </c>
      <c r="AE549" s="3" t="s">
        <v>685</v>
      </c>
      <c r="AF549" s="3">
        <v>720</v>
      </c>
    </row>
    <row r="550" spans="1:32" ht="27.95" x14ac:dyDescent="0.3">
      <c r="A550" s="5">
        <v>544</v>
      </c>
      <c r="B550" s="5" t="str">
        <f>"201900074757"</f>
        <v>201900074757</v>
      </c>
      <c r="C550" s="5" t="str">
        <f>"85781"</f>
        <v>85781</v>
      </c>
      <c r="D550" s="5" t="s">
        <v>3110</v>
      </c>
      <c r="E550" s="5">
        <v>20486750007</v>
      </c>
      <c r="F550" s="5" t="s">
        <v>3111</v>
      </c>
      <c r="G550" s="5" t="s">
        <v>3112</v>
      </c>
      <c r="H550" s="5" t="s">
        <v>532</v>
      </c>
      <c r="I550" s="5" t="s">
        <v>714</v>
      </c>
      <c r="J550" s="5" t="s">
        <v>3113</v>
      </c>
      <c r="K550" s="5" t="s">
        <v>37</v>
      </c>
      <c r="L550" s="5" t="s">
        <v>63</v>
      </c>
      <c r="M550" s="5" t="s">
        <v>1367</v>
      </c>
      <c r="N550" s="5" t="s">
        <v>74</v>
      </c>
      <c r="O550" s="5" t="s">
        <v>94</v>
      </c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>
        <v>12000</v>
      </c>
      <c r="AB550" s="5">
        <v>5000</v>
      </c>
      <c r="AC550" s="6">
        <v>43621</v>
      </c>
      <c r="AD550" s="5" t="s">
        <v>42</v>
      </c>
      <c r="AE550" s="5" t="s">
        <v>3114</v>
      </c>
      <c r="AF550" s="5">
        <v>0</v>
      </c>
    </row>
    <row r="551" spans="1:32" ht="27.95" x14ac:dyDescent="0.3">
      <c r="A551" s="3">
        <v>545</v>
      </c>
      <c r="B551" s="3" t="str">
        <f>"201800122085"</f>
        <v>201800122085</v>
      </c>
      <c r="C551" s="3" t="str">
        <f>"14693"</f>
        <v>14693</v>
      </c>
      <c r="D551" s="3" t="s">
        <v>3115</v>
      </c>
      <c r="E551" s="3">
        <v>20503840121</v>
      </c>
      <c r="F551" s="3" t="s">
        <v>442</v>
      </c>
      <c r="G551" s="3" t="s">
        <v>3116</v>
      </c>
      <c r="H551" s="3" t="s">
        <v>58</v>
      </c>
      <c r="I551" s="3" t="s">
        <v>58</v>
      </c>
      <c r="J551" s="3" t="s">
        <v>444</v>
      </c>
      <c r="K551" s="3" t="s">
        <v>37</v>
      </c>
      <c r="L551" s="3" t="s">
        <v>164</v>
      </c>
      <c r="M551" s="3" t="s">
        <v>703</v>
      </c>
      <c r="N551" s="3" t="s">
        <v>73</v>
      </c>
      <c r="O551" s="3" t="s">
        <v>3117</v>
      </c>
      <c r="P551" s="3" t="s">
        <v>2168</v>
      </c>
      <c r="Q551" s="3" t="s">
        <v>103</v>
      </c>
      <c r="R551" s="3"/>
      <c r="S551" s="3"/>
      <c r="T551" s="3"/>
      <c r="U551" s="3"/>
      <c r="V551" s="3"/>
      <c r="W551" s="3"/>
      <c r="X551" s="3"/>
      <c r="Y551" s="3"/>
      <c r="Z551" s="3"/>
      <c r="AA551" s="3">
        <v>52000</v>
      </c>
      <c r="AB551" s="3">
        <v>2500</v>
      </c>
      <c r="AC551" s="4">
        <v>43305</v>
      </c>
      <c r="AD551" s="3" t="s">
        <v>42</v>
      </c>
      <c r="AE551" s="3" t="s">
        <v>3118</v>
      </c>
      <c r="AF551" s="3">
        <v>0</v>
      </c>
    </row>
    <row r="552" spans="1:32" x14ac:dyDescent="0.3">
      <c r="A552" s="5">
        <v>546</v>
      </c>
      <c r="B552" s="5" t="str">
        <f>"202000047235"</f>
        <v>202000047235</v>
      </c>
      <c r="C552" s="5" t="str">
        <f>"84984"</f>
        <v>84984</v>
      </c>
      <c r="D552" s="5" t="s">
        <v>3119</v>
      </c>
      <c r="E552" s="5">
        <v>20350218689</v>
      </c>
      <c r="F552" s="5" t="s">
        <v>3120</v>
      </c>
      <c r="G552" s="5" t="s">
        <v>3121</v>
      </c>
      <c r="H552" s="5" t="s">
        <v>436</v>
      </c>
      <c r="I552" s="5" t="s">
        <v>3122</v>
      </c>
      <c r="J552" s="5" t="s">
        <v>3123</v>
      </c>
      <c r="K552" s="5" t="s">
        <v>37</v>
      </c>
      <c r="L552" s="5" t="s">
        <v>3124</v>
      </c>
      <c r="M552" s="5" t="s">
        <v>3125</v>
      </c>
      <c r="N552" s="5" t="s">
        <v>1949</v>
      </c>
      <c r="O552" s="5" t="s">
        <v>1950</v>
      </c>
      <c r="P552" s="5" t="s">
        <v>94</v>
      </c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>
        <v>11700</v>
      </c>
      <c r="AB552" s="5">
        <v>5000</v>
      </c>
      <c r="AC552" s="6">
        <v>43914</v>
      </c>
      <c r="AD552" s="5" t="s">
        <v>42</v>
      </c>
      <c r="AE552" s="5" t="s">
        <v>140</v>
      </c>
      <c r="AF552" s="5">
        <v>720</v>
      </c>
    </row>
    <row r="553" spans="1:32" ht="27.95" x14ac:dyDescent="0.3">
      <c r="A553" s="3">
        <v>547</v>
      </c>
      <c r="B553" s="3" t="str">
        <f>"201900192327"</f>
        <v>201900192327</v>
      </c>
      <c r="C553" s="3" t="str">
        <f>"7945"</f>
        <v>7945</v>
      </c>
      <c r="D553" s="3" t="s">
        <v>3126</v>
      </c>
      <c r="E553" s="3">
        <v>20175039288</v>
      </c>
      <c r="F553" s="3" t="s">
        <v>3127</v>
      </c>
      <c r="G553" s="3" t="s">
        <v>3128</v>
      </c>
      <c r="H553" s="3" t="s">
        <v>58</v>
      </c>
      <c r="I553" s="3" t="s">
        <v>823</v>
      </c>
      <c r="J553" s="3" t="s">
        <v>823</v>
      </c>
      <c r="K553" s="3" t="s">
        <v>37</v>
      </c>
      <c r="L553" s="3" t="s">
        <v>2749</v>
      </c>
      <c r="M553" s="3" t="s">
        <v>72</v>
      </c>
      <c r="N553" s="3" t="s">
        <v>3129</v>
      </c>
      <c r="O553" s="3" t="s">
        <v>3130</v>
      </c>
      <c r="P553" s="3" t="s">
        <v>3131</v>
      </c>
      <c r="Q553" s="3" t="s">
        <v>103</v>
      </c>
      <c r="R553" s="3"/>
      <c r="S553" s="3"/>
      <c r="T553" s="3"/>
      <c r="U553" s="3"/>
      <c r="V553" s="3"/>
      <c r="W553" s="3"/>
      <c r="X553" s="3"/>
      <c r="Y553" s="3"/>
      <c r="Z553" s="3"/>
      <c r="AA553" s="3">
        <v>27250</v>
      </c>
      <c r="AB553" s="3">
        <v>2500</v>
      </c>
      <c r="AC553" s="4">
        <v>43806</v>
      </c>
      <c r="AD553" s="3" t="s">
        <v>42</v>
      </c>
      <c r="AE553" s="3" t="s">
        <v>3132</v>
      </c>
      <c r="AF553" s="3">
        <v>240</v>
      </c>
    </row>
    <row r="554" spans="1:32" ht="27.95" x14ac:dyDescent="0.3">
      <c r="A554" s="5">
        <v>548</v>
      </c>
      <c r="B554" s="5" t="str">
        <f>"201700056466"</f>
        <v>201700056466</v>
      </c>
      <c r="C554" s="5" t="str">
        <f>"33452"</f>
        <v>33452</v>
      </c>
      <c r="D554" s="5" t="s">
        <v>3133</v>
      </c>
      <c r="E554" s="5">
        <v>20534905573</v>
      </c>
      <c r="F554" s="5" t="s">
        <v>3134</v>
      </c>
      <c r="G554" s="5" t="s">
        <v>3135</v>
      </c>
      <c r="H554" s="5" t="s">
        <v>47</v>
      </c>
      <c r="I554" s="5" t="s">
        <v>47</v>
      </c>
      <c r="J554" s="5" t="s">
        <v>2074</v>
      </c>
      <c r="K554" s="5" t="s">
        <v>37</v>
      </c>
      <c r="L554" s="5" t="s">
        <v>459</v>
      </c>
      <c r="M554" s="5" t="s">
        <v>2107</v>
      </c>
      <c r="N554" s="5" t="s">
        <v>103</v>
      </c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>
        <v>6000</v>
      </c>
      <c r="AB554" s="5">
        <v>2500</v>
      </c>
      <c r="AC554" s="6">
        <v>42842</v>
      </c>
      <c r="AD554" s="5" t="s">
        <v>42</v>
      </c>
      <c r="AE554" s="5" t="s">
        <v>3136</v>
      </c>
      <c r="AF554" s="5">
        <v>0</v>
      </c>
    </row>
    <row r="555" spans="1:32" x14ac:dyDescent="0.3">
      <c r="A555" s="3">
        <v>549</v>
      </c>
      <c r="B555" s="3" t="str">
        <f>"201900077985"</f>
        <v>201900077985</v>
      </c>
      <c r="C555" s="3" t="str">
        <f>"7960"</f>
        <v>7960</v>
      </c>
      <c r="D555" s="3" t="s">
        <v>3137</v>
      </c>
      <c r="E555" s="3">
        <v>20601756383</v>
      </c>
      <c r="F555" s="3" t="s">
        <v>3138</v>
      </c>
      <c r="G555" s="3" t="s">
        <v>3139</v>
      </c>
      <c r="H555" s="3" t="s">
        <v>108</v>
      </c>
      <c r="I555" s="3" t="s">
        <v>109</v>
      </c>
      <c r="J555" s="3" t="s">
        <v>109</v>
      </c>
      <c r="K555" s="3" t="s">
        <v>37</v>
      </c>
      <c r="L555" s="3" t="s">
        <v>2870</v>
      </c>
      <c r="M555" s="3" t="s">
        <v>74</v>
      </c>
      <c r="N555" s="3" t="s">
        <v>76</v>
      </c>
      <c r="O555" s="3" t="s">
        <v>94</v>
      </c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>
        <v>13000</v>
      </c>
      <c r="AB555" s="3">
        <v>5000</v>
      </c>
      <c r="AC555" s="4">
        <v>43601</v>
      </c>
      <c r="AD555" s="3" t="s">
        <v>42</v>
      </c>
      <c r="AE555" s="3" t="s">
        <v>3140</v>
      </c>
      <c r="AF555" s="3">
        <v>0</v>
      </c>
    </row>
    <row r="556" spans="1:32" x14ac:dyDescent="0.3">
      <c r="A556" s="5">
        <v>550</v>
      </c>
      <c r="B556" s="5" t="str">
        <f>"201900198656"</f>
        <v>201900198656</v>
      </c>
      <c r="C556" s="5" t="str">
        <f>"98368"</f>
        <v>98368</v>
      </c>
      <c r="D556" s="5" t="s">
        <v>3141</v>
      </c>
      <c r="E556" s="5">
        <v>20605435336</v>
      </c>
      <c r="F556" s="5" t="s">
        <v>3142</v>
      </c>
      <c r="G556" s="5" t="s">
        <v>3143</v>
      </c>
      <c r="H556" s="5" t="s">
        <v>219</v>
      </c>
      <c r="I556" s="5" t="s">
        <v>220</v>
      </c>
      <c r="J556" s="5" t="s">
        <v>908</v>
      </c>
      <c r="K556" s="5" t="s">
        <v>37</v>
      </c>
      <c r="L556" s="5" t="s">
        <v>3144</v>
      </c>
      <c r="M556" s="5" t="s">
        <v>525</v>
      </c>
      <c r="N556" s="5" t="s">
        <v>212</v>
      </c>
      <c r="O556" s="5" t="s">
        <v>3145</v>
      </c>
      <c r="P556" s="5" t="s">
        <v>78</v>
      </c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>
        <v>13620</v>
      </c>
      <c r="AB556" s="5">
        <v>3200</v>
      </c>
      <c r="AC556" s="6">
        <v>43817</v>
      </c>
      <c r="AD556" s="5" t="s">
        <v>42</v>
      </c>
      <c r="AE556" s="5" t="s">
        <v>3146</v>
      </c>
      <c r="AF556" s="5">
        <v>720</v>
      </c>
    </row>
    <row r="557" spans="1:32" ht="27.95" x14ac:dyDescent="0.3">
      <c r="A557" s="3">
        <v>551</v>
      </c>
      <c r="B557" s="3" t="str">
        <f>"201600167691"</f>
        <v>201600167691</v>
      </c>
      <c r="C557" s="3" t="str">
        <f>"19973"</f>
        <v>19973</v>
      </c>
      <c r="D557" s="3" t="s">
        <v>3147</v>
      </c>
      <c r="E557" s="3">
        <v>20555367598</v>
      </c>
      <c r="F557" s="3" t="s">
        <v>3148</v>
      </c>
      <c r="G557" s="3" t="s">
        <v>3149</v>
      </c>
      <c r="H557" s="3" t="s">
        <v>58</v>
      </c>
      <c r="I557" s="3" t="s">
        <v>58</v>
      </c>
      <c r="J557" s="3" t="s">
        <v>99</v>
      </c>
      <c r="K557" s="3" t="s">
        <v>37</v>
      </c>
      <c r="L557" s="3" t="s">
        <v>174</v>
      </c>
      <c r="M557" s="3" t="s">
        <v>3150</v>
      </c>
      <c r="N557" s="3" t="s">
        <v>862</v>
      </c>
      <c r="O557" s="3" t="s">
        <v>62</v>
      </c>
      <c r="P557" s="3" t="s">
        <v>171</v>
      </c>
      <c r="Q557" s="3" t="s">
        <v>78</v>
      </c>
      <c r="R557" s="3"/>
      <c r="S557" s="3"/>
      <c r="T557" s="3"/>
      <c r="U557" s="3"/>
      <c r="V557" s="3"/>
      <c r="W557" s="3"/>
      <c r="X557" s="3"/>
      <c r="Y557" s="3"/>
      <c r="Z557" s="3"/>
      <c r="AA557" s="3">
        <v>19917</v>
      </c>
      <c r="AB557" s="3">
        <v>3200</v>
      </c>
      <c r="AC557" s="4">
        <v>42702</v>
      </c>
      <c r="AD557" s="3" t="s">
        <v>42</v>
      </c>
      <c r="AE557" s="3" t="s">
        <v>3151</v>
      </c>
      <c r="AF557" s="3">
        <v>480</v>
      </c>
    </row>
    <row r="558" spans="1:32" x14ac:dyDescent="0.3">
      <c r="A558" s="5">
        <v>552</v>
      </c>
      <c r="B558" s="5" t="str">
        <f>"202000055078"</f>
        <v>202000055078</v>
      </c>
      <c r="C558" s="5" t="str">
        <f>"8564"</f>
        <v>8564</v>
      </c>
      <c r="D558" s="5" t="s">
        <v>3152</v>
      </c>
      <c r="E558" s="5">
        <v>20127765279</v>
      </c>
      <c r="F558" s="5" t="s">
        <v>1115</v>
      </c>
      <c r="G558" s="5" t="s">
        <v>3153</v>
      </c>
      <c r="H558" s="5" t="s">
        <v>187</v>
      </c>
      <c r="I558" s="5" t="s">
        <v>187</v>
      </c>
      <c r="J558" s="5" t="s">
        <v>187</v>
      </c>
      <c r="K558" s="5" t="s">
        <v>37</v>
      </c>
      <c r="L558" s="5" t="s">
        <v>683</v>
      </c>
      <c r="M558" s="5" t="s">
        <v>682</v>
      </c>
      <c r="N558" s="5" t="s">
        <v>669</v>
      </c>
      <c r="O558" s="5" t="s">
        <v>110</v>
      </c>
      <c r="P558" s="5" t="s">
        <v>381</v>
      </c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>
        <v>26000</v>
      </c>
      <c r="AB558" s="5">
        <v>2000</v>
      </c>
      <c r="AC558" s="6">
        <v>43959</v>
      </c>
      <c r="AD558" s="5" t="s">
        <v>42</v>
      </c>
      <c r="AE558" s="5" t="s">
        <v>3154</v>
      </c>
      <c r="AF558" s="5">
        <v>0</v>
      </c>
    </row>
    <row r="559" spans="1:32" ht="27.95" x14ac:dyDescent="0.3">
      <c r="A559" s="3">
        <v>553</v>
      </c>
      <c r="B559" s="3" t="str">
        <f>"202000056642"</f>
        <v>202000056642</v>
      </c>
      <c r="C559" s="3" t="str">
        <f>"9163"</f>
        <v>9163</v>
      </c>
      <c r="D559" s="3" t="s">
        <v>3155</v>
      </c>
      <c r="E559" s="3">
        <v>20511230935</v>
      </c>
      <c r="F559" s="3" t="s">
        <v>300</v>
      </c>
      <c r="G559" s="3" t="s">
        <v>3156</v>
      </c>
      <c r="H559" s="3" t="s">
        <v>187</v>
      </c>
      <c r="I559" s="3" t="s">
        <v>260</v>
      </c>
      <c r="J559" s="3" t="s">
        <v>261</v>
      </c>
      <c r="K559" s="3" t="s">
        <v>37</v>
      </c>
      <c r="L559" s="3" t="s">
        <v>63</v>
      </c>
      <c r="M559" s="3" t="s">
        <v>2003</v>
      </c>
      <c r="N559" s="3" t="s">
        <v>248</v>
      </c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>
        <v>12000</v>
      </c>
      <c r="AB559" s="3">
        <v>3000</v>
      </c>
      <c r="AC559" s="4">
        <v>43978</v>
      </c>
      <c r="AD559" s="3" t="s">
        <v>42</v>
      </c>
      <c r="AE559" s="3" t="s">
        <v>3157</v>
      </c>
      <c r="AF559" s="3">
        <v>0</v>
      </c>
    </row>
    <row r="560" spans="1:32" ht="27.95" x14ac:dyDescent="0.3">
      <c r="A560" s="5">
        <v>554</v>
      </c>
      <c r="B560" s="5" t="str">
        <f>"202000002059"</f>
        <v>202000002059</v>
      </c>
      <c r="C560" s="5" t="str">
        <f>"16718"</f>
        <v>16718</v>
      </c>
      <c r="D560" s="5" t="s">
        <v>3158</v>
      </c>
      <c r="E560" s="5">
        <v>20485842170</v>
      </c>
      <c r="F560" s="5" t="s">
        <v>3159</v>
      </c>
      <c r="G560" s="5" t="s">
        <v>3160</v>
      </c>
      <c r="H560" s="5" t="s">
        <v>108</v>
      </c>
      <c r="I560" s="5" t="s">
        <v>647</v>
      </c>
      <c r="J560" s="5" t="s">
        <v>846</v>
      </c>
      <c r="K560" s="5" t="s">
        <v>37</v>
      </c>
      <c r="L560" s="5" t="s">
        <v>2003</v>
      </c>
      <c r="M560" s="5" t="s">
        <v>63</v>
      </c>
      <c r="N560" s="5" t="s">
        <v>94</v>
      </c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>
        <v>12000</v>
      </c>
      <c r="AB560" s="5">
        <v>5000</v>
      </c>
      <c r="AC560" s="6">
        <v>43838</v>
      </c>
      <c r="AD560" s="5" t="s">
        <v>42</v>
      </c>
      <c r="AE560" s="5" t="s">
        <v>3161</v>
      </c>
      <c r="AF560" s="5">
        <v>0</v>
      </c>
    </row>
    <row r="561" spans="1:32" ht="27.95" x14ac:dyDescent="0.3">
      <c r="A561" s="3">
        <v>555</v>
      </c>
      <c r="B561" s="3" t="str">
        <f>"201900121760"</f>
        <v>201900121760</v>
      </c>
      <c r="C561" s="3" t="str">
        <f>"116981"</f>
        <v>116981</v>
      </c>
      <c r="D561" s="3" t="s">
        <v>3162</v>
      </c>
      <c r="E561" s="3">
        <v>20450700771</v>
      </c>
      <c r="F561" s="3" t="s">
        <v>3163</v>
      </c>
      <c r="G561" s="3" t="s">
        <v>3164</v>
      </c>
      <c r="H561" s="3" t="s">
        <v>47</v>
      </c>
      <c r="I561" s="3" t="s">
        <v>290</v>
      </c>
      <c r="J561" s="3" t="s">
        <v>3165</v>
      </c>
      <c r="K561" s="3" t="s">
        <v>37</v>
      </c>
      <c r="L561" s="3" t="s">
        <v>63</v>
      </c>
      <c r="M561" s="3" t="s">
        <v>3166</v>
      </c>
      <c r="N561" s="3" t="s">
        <v>3167</v>
      </c>
      <c r="O561" s="3" t="s">
        <v>3168</v>
      </c>
      <c r="P561" s="3" t="s">
        <v>78</v>
      </c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>
        <v>25930</v>
      </c>
      <c r="AB561" s="3">
        <v>3200</v>
      </c>
      <c r="AC561" s="4">
        <v>43671</v>
      </c>
      <c r="AD561" s="3" t="s">
        <v>42</v>
      </c>
      <c r="AE561" s="3" t="s">
        <v>3169</v>
      </c>
      <c r="AF561" s="3">
        <v>0</v>
      </c>
    </row>
    <row r="562" spans="1:32" ht="41.95" x14ac:dyDescent="0.3">
      <c r="A562" s="5">
        <v>556</v>
      </c>
      <c r="B562" s="5" t="str">
        <f>"201900204358"</f>
        <v>201900204358</v>
      </c>
      <c r="C562" s="5" t="str">
        <f>"7948"</f>
        <v>7948</v>
      </c>
      <c r="D562" s="5" t="s">
        <v>3170</v>
      </c>
      <c r="E562" s="5">
        <v>20127765279</v>
      </c>
      <c r="F562" s="5" t="s">
        <v>1115</v>
      </c>
      <c r="G562" s="5" t="s">
        <v>3171</v>
      </c>
      <c r="H562" s="5" t="s">
        <v>89</v>
      </c>
      <c r="I562" s="5" t="s">
        <v>89</v>
      </c>
      <c r="J562" s="5" t="s">
        <v>3172</v>
      </c>
      <c r="K562" s="5" t="s">
        <v>37</v>
      </c>
      <c r="L562" s="5" t="s">
        <v>929</v>
      </c>
      <c r="M562" s="5" t="s">
        <v>1348</v>
      </c>
      <c r="N562" s="5" t="s">
        <v>3173</v>
      </c>
      <c r="O562" s="5" t="s">
        <v>3174</v>
      </c>
      <c r="P562" s="5" t="s">
        <v>3175</v>
      </c>
      <c r="Q562" s="5" t="s">
        <v>819</v>
      </c>
      <c r="R562" s="5" t="s">
        <v>381</v>
      </c>
      <c r="S562" s="5"/>
      <c r="T562" s="5"/>
      <c r="U562" s="5"/>
      <c r="V562" s="5"/>
      <c r="W562" s="5"/>
      <c r="X562" s="5"/>
      <c r="Y562" s="5"/>
      <c r="Z562" s="5"/>
      <c r="AA562" s="5">
        <v>29600</v>
      </c>
      <c r="AB562" s="5">
        <v>2000</v>
      </c>
      <c r="AC562" s="6">
        <v>43809</v>
      </c>
      <c r="AD562" s="5" t="s">
        <v>42</v>
      </c>
      <c r="AE562" s="5" t="s">
        <v>279</v>
      </c>
      <c r="AF562" s="5">
        <v>240</v>
      </c>
    </row>
    <row r="563" spans="1:32" ht="27.95" x14ac:dyDescent="0.3">
      <c r="A563" s="3">
        <v>557</v>
      </c>
      <c r="B563" s="3" t="str">
        <f>"201900086354"</f>
        <v>201900086354</v>
      </c>
      <c r="C563" s="3" t="str">
        <f>"126479"</f>
        <v>126479</v>
      </c>
      <c r="D563" s="3" t="s">
        <v>3176</v>
      </c>
      <c r="E563" s="3">
        <v>20601121248</v>
      </c>
      <c r="F563" s="3" t="s">
        <v>3177</v>
      </c>
      <c r="G563" s="3" t="s">
        <v>3178</v>
      </c>
      <c r="H563" s="3" t="s">
        <v>47</v>
      </c>
      <c r="I563" s="3" t="s">
        <v>47</v>
      </c>
      <c r="J563" s="3" t="s">
        <v>1636</v>
      </c>
      <c r="K563" s="3" t="s">
        <v>37</v>
      </c>
      <c r="L563" s="3" t="s">
        <v>78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>
        <v>8800</v>
      </c>
      <c r="AB563" s="3">
        <v>3200</v>
      </c>
      <c r="AC563" s="4">
        <v>43616</v>
      </c>
      <c r="AD563" s="3" t="s">
        <v>42</v>
      </c>
      <c r="AE563" s="3" t="s">
        <v>3179</v>
      </c>
      <c r="AF563" s="3">
        <v>0</v>
      </c>
    </row>
    <row r="564" spans="1:32" ht="27.95" x14ac:dyDescent="0.3">
      <c r="A564" s="5">
        <v>558</v>
      </c>
      <c r="B564" s="5" t="str">
        <f>"201800174832"</f>
        <v>201800174832</v>
      </c>
      <c r="C564" s="5" t="str">
        <f>"119383"</f>
        <v>119383</v>
      </c>
      <c r="D564" s="5" t="s">
        <v>3180</v>
      </c>
      <c r="E564" s="5">
        <v>20561314854</v>
      </c>
      <c r="F564" s="5" t="s">
        <v>3181</v>
      </c>
      <c r="G564" s="5" t="s">
        <v>3182</v>
      </c>
      <c r="H564" s="5" t="s">
        <v>219</v>
      </c>
      <c r="I564" s="5" t="s">
        <v>568</v>
      </c>
      <c r="J564" s="5" t="s">
        <v>569</v>
      </c>
      <c r="K564" s="5" t="s">
        <v>37</v>
      </c>
      <c r="L564" s="5" t="s">
        <v>459</v>
      </c>
      <c r="M564" s="5" t="s">
        <v>74</v>
      </c>
      <c r="N564" s="5" t="s">
        <v>3183</v>
      </c>
      <c r="O564" s="5" t="s">
        <v>78</v>
      </c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>
        <v>9000</v>
      </c>
      <c r="AB564" s="5">
        <v>3200</v>
      </c>
      <c r="AC564" s="6">
        <v>43398</v>
      </c>
      <c r="AD564" s="5" t="s">
        <v>42</v>
      </c>
      <c r="AE564" s="5" t="s">
        <v>1212</v>
      </c>
      <c r="AF564" s="5">
        <v>0</v>
      </c>
    </row>
    <row r="565" spans="1:32" x14ac:dyDescent="0.3">
      <c r="A565" s="3">
        <v>559</v>
      </c>
      <c r="B565" s="3" t="str">
        <f>"202000092888"</f>
        <v>202000092888</v>
      </c>
      <c r="C565" s="3" t="str">
        <f>"9328"</f>
        <v>9328</v>
      </c>
      <c r="D565" s="3" t="s">
        <v>3184</v>
      </c>
      <c r="E565" s="3">
        <v>20309757662</v>
      </c>
      <c r="F565" s="3" t="s">
        <v>3185</v>
      </c>
      <c r="G565" s="3" t="s">
        <v>3186</v>
      </c>
      <c r="H565" s="3" t="s">
        <v>638</v>
      </c>
      <c r="I565" s="3" t="s">
        <v>639</v>
      </c>
      <c r="J565" s="3" t="s">
        <v>949</v>
      </c>
      <c r="K565" s="3" t="s">
        <v>37</v>
      </c>
      <c r="L565" s="3" t="s">
        <v>593</v>
      </c>
      <c r="M565" s="3" t="s">
        <v>641</v>
      </c>
      <c r="N565" s="3" t="s">
        <v>459</v>
      </c>
      <c r="O565" s="3" t="s">
        <v>459</v>
      </c>
      <c r="P565" s="3" t="s">
        <v>459</v>
      </c>
      <c r="Q565" s="3" t="s">
        <v>94</v>
      </c>
      <c r="R565" s="3"/>
      <c r="S565" s="3"/>
      <c r="T565" s="3"/>
      <c r="U565" s="3"/>
      <c r="V565" s="3"/>
      <c r="W565" s="3"/>
      <c r="X565" s="3"/>
      <c r="Y565" s="3"/>
      <c r="Z565" s="3"/>
      <c r="AA565" s="3">
        <v>21000</v>
      </c>
      <c r="AB565" s="3">
        <v>5000</v>
      </c>
      <c r="AC565" s="4">
        <v>44045</v>
      </c>
      <c r="AD565" s="3" t="s">
        <v>42</v>
      </c>
      <c r="AE565" s="3" t="s">
        <v>3187</v>
      </c>
      <c r="AF565" s="3">
        <v>0</v>
      </c>
    </row>
    <row r="566" spans="1:32" ht="27.95" x14ac:dyDescent="0.3">
      <c r="A566" s="5">
        <v>560</v>
      </c>
      <c r="B566" s="5" t="str">
        <f>"202000040233"</f>
        <v>202000040233</v>
      </c>
      <c r="C566" s="5" t="str">
        <f>"122124"</f>
        <v>122124</v>
      </c>
      <c r="D566" s="5" t="s">
        <v>3188</v>
      </c>
      <c r="E566" s="5">
        <v>20601244145</v>
      </c>
      <c r="F566" s="5" t="s">
        <v>3189</v>
      </c>
      <c r="G566" s="5" t="s">
        <v>3190</v>
      </c>
      <c r="H566" s="5" t="s">
        <v>150</v>
      </c>
      <c r="I566" s="5" t="s">
        <v>150</v>
      </c>
      <c r="J566" s="5" t="s">
        <v>3191</v>
      </c>
      <c r="K566" s="5" t="s">
        <v>37</v>
      </c>
      <c r="L566" s="5" t="s">
        <v>3192</v>
      </c>
      <c r="M566" s="5" t="s">
        <v>3192</v>
      </c>
      <c r="N566" s="5" t="s">
        <v>3193</v>
      </c>
      <c r="O566" s="5" t="s">
        <v>3194</v>
      </c>
      <c r="P566" s="5" t="s">
        <v>3195</v>
      </c>
      <c r="Q566" s="5" t="s">
        <v>2282</v>
      </c>
      <c r="R566" s="5"/>
      <c r="S566" s="5"/>
      <c r="T566" s="5"/>
      <c r="U566" s="5"/>
      <c r="V566" s="5"/>
      <c r="W566" s="5"/>
      <c r="X566" s="5"/>
      <c r="Y566" s="5"/>
      <c r="Z566" s="5"/>
      <c r="AA566" s="5">
        <v>46200</v>
      </c>
      <c r="AB566" s="5">
        <v>8000</v>
      </c>
      <c r="AC566" s="6">
        <v>43898</v>
      </c>
      <c r="AD566" s="5" t="s">
        <v>42</v>
      </c>
      <c r="AE566" s="5" t="s">
        <v>3196</v>
      </c>
      <c r="AF566" s="5">
        <v>0</v>
      </c>
    </row>
    <row r="567" spans="1:32" ht="27.95" x14ac:dyDescent="0.3">
      <c r="A567" s="3">
        <v>561</v>
      </c>
      <c r="B567" s="3" t="str">
        <f>"201900215014"</f>
        <v>201900215014</v>
      </c>
      <c r="C567" s="3" t="str">
        <f>"14742"</f>
        <v>14742</v>
      </c>
      <c r="D567" s="3" t="s">
        <v>3197</v>
      </c>
      <c r="E567" s="3">
        <v>20379074996</v>
      </c>
      <c r="F567" s="3" t="s">
        <v>3198</v>
      </c>
      <c r="G567" s="3" t="s">
        <v>3199</v>
      </c>
      <c r="H567" s="3" t="s">
        <v>58</v>
      </c>
      <c r="I567" s="3" t="s">
        <v>58</v>
      </c>
      <c r="J567" s="3" t="s">
        <v>1373</v>
      </c>
      <c r="K567" s="3" t="s">
        <v>37</v>
      </c>
      <c r="L567" s="3" t="s">
        <v>3200</v>
      </c>
      <c r="M567" s="3" t="s">
        <v>505</v>
      </c>
      <c r="N567" s="3" t="s">
        <v>3201</v>
      </c>
      <c r="O567" s="3" t="s">
        <v>381</v>
      </c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>
        <v>24000</v>
      </c>
      <c r="AB567" s="3">
        <v>2000</v>
      </c>
      <c r="AC567" s="4">
        <v>43825</v>
      </c>
      <c r="AD567" s="3" t="s">
        <v>42</v>
      </c>
      <c r="AE567" s="3" t="s">
        <v>3202</v>
      </c>
      <c r="AF567" s="3">
        <v>0</v>
      </c>
    </row>
    <row r="568" spans="1:32" ht="27.95" x14ac:dyDescent="0.3">
      <c r="A568" s="5">
        <v>562</v>
      </c>
      <c r="B568" s="5" t="str">
        <f>"201500093490"</f>
        <v>201500093490</v>
      </c>
      <c r="C568" s="5" t="str">
        <f>"61741"</f>
        <v>61741</v>
      </c>
      <c r="D568" s="5" t="s">
        <v>3203</v>
      </c>
      <c r="E568" s="5">
        <v>20454689926</v>
      </c>
      <c r="F568" s="5" t="s">
        <v>3204</v>
      </c>
      <c r="G568" s="5" t="s">
        <v>3205</v>
      </c>
      <c r="H568" s="5" t="s">
        <v>89</v>
      </c>
      <c r="I568" s="5" t="s">
        <v>89</v>
      </c>
      <c r="J568" s="5" t="s">
        <v>89</v>
      </c>
      <c r="K568" s="5" t="s">
        <v>37</v>
      </c>
      <c r="L568" s="5" t="s">
        <v>63</v>
      </c>
      <c r="M568" s="5" t="s">
        <v>2107</v>
      </c>
      <c r="N568" s="5" t="s">
        <v>248</v>
      </c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>
        <v>9000</v>
      </c>
      <c r="AB568" s="5">
        <v>3000</v>
      </c>
      <c r="AC568" s="6">
        <v>42228</v>
      </c>
      <c r="AD568" s="5" t="s">
        <v>42</v>
      </c>
      <c r="AE568" s="5" t="s">
        <v>3206</v>
      </c>
      <c r="AF568" s="5">
        <v>0</v>
      </c>
    </row>
    <row r="569" spans="1:32" ht="27.95" x14ac:dyDescent="0.3">
      <c r="A569" s="3">
        <v>563</v>
      </c>
      <c r="B569" s="3" t="str">
        <f>"201600121294"</f>
        <v>201600121294</v>
      </c>
      <c r="C569" s="3" t="str">
        <f>"21003"</f>
        <v>21003</v>
      </c>
      <c r="D569" s="3" t="s">
        <v>3207</v>
      </c>
      <c r="E569" s="3">
        <v>20523706803</v>
      </c>
      <c r="F569" s="3" t="s">
        <v>401</v>
      </c>
      <c r="G569" s="3" t="s">
        <v>3208</v>
      </c>
      <c r="H569" s="3" t="s">
        <v>58</v>
      </c>
      <c r="I569" s="3" t="s">
        <v>58</v>
      </c>
      <c r="J569" s="3" t="s">
        <v>1756</v>
      </c>
      <c r="K569" s="3" t="s">
        <v>37</v>
      </c>
      <c r="L569" s="3" t="s">
        <v>174</v>
      </c>
      <c r="M569" s="3" t="s">
        <v>3209</v>
      </c>
      <c r="N569" s="3" t="s">
        <v>63</v>
      </c>
      <c r="O569" s="3" t="s">
        <v>247</v>
      </c>
      <c r="P569" s="3" t="s">
        <v>381</v>
      </c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>
        <v>24000</v>
      </c>
      <c r="AB569" s="3">
        <v>2000</v>
      </c>
      <c r="AC569" s="4">
        <v>42636</v>
      </c>
      <c r="AD569" s="3" t="s">
        <v>42</v>
      </c>
      <c r="AE569" s="3" t="s">
        <v>405</v>
      </c>
      <c r="AF569" s="3">
        <v>0</v>
      </c>
    </row>
    <row r="570" spans="1:32" ht="27.95" x14ac:dyDescent="0.3">
      <c r="A570" s="5">
        <v>564</v>
      </c>
      <c r="B570" s="5" t="str">
        <f>"201900164050"</f>
        <v>201900164050</v>
      </c>
      <c r="C570" s="5" t="str">
        <f>"126952"</f>
        <v>126952</v>
      </c>
      <c r="D570" s="5" t="s">
        <v>3210</v>
      </c>
      <c r="E570" s="5">
        <v>20534817526</v>
      </c>
      <c r="F570" s="5" t="s">
        <v>3211</v>
      </c>
      <c r="G570" s="5" t="s">
        <v>3212</v>
      </c>
      <c r="H570" s="5" t="s">
        <v>47</v>
      </c>
      <c r="I570" s="5" t="s">
        <v>47</v>
      </c>
      <c r="J570" s="5" t="s">
        <v>47</v>
      </c>
      <c r="K570" s="5" t="s">
        <v>37</v>
      </c>
      <c r="L570" s="5" t="s">
        <v>3213</v>
      </c>
      <c r="M570" s="5" t="s">
        <v>3214</v>
      </c>
      <c r="N570" s="5" t="s">
        <v>94</v>
      </c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>
        <v>12000</v>
      </c>
      <c r="AB570" s="5">
        <v>5000</v>
      </c>
      <c r="AC570" s="6">
        <v>43745</v>
      </c>
      <c r="AD570" s="5" t="s">
        <v>42</v>
      </c>
      <c r="AE570" s="5" t="s">
        <v>3215</v>
      </c>
      <c r="AF570" s="5">
        <v>240</v>
      </c>
    </row>
    <row r="571" spans="1:32" ht="41.95" x14ac:dyDescent="0.3">
      <c r="A571" s="3">
        <v>565</v>
      </c>
      <c r="B571" s="3" t="str">
        <f>"201900021991"</f>
        <v>201900021991</v>
      </c>
      <c r="C571" s="3" t="str">
        <f>"86068"</f>
        <v>86068</v>
      </c>
      <c r="D571" s="3" t="s">
        <v>3216</v>
      </c>
      <c r="E571" s="3">
        <v>20454935048</v>
      </c>
      <c r="F571" s="3" t="s">
        <v>3217</v>
      </c>
      <c r="G571" s="3" t="s">
        <v>3218</v>
      </c>
      <c r="H571" s="3" t="s">
        <v>89</v>
      </c>
      <c r="I571" s="3" t="s">
        <v>730</v>
      </c>
      <c r="J571" s="3" t="s">
        <v>3219</v>
      </c>
      <c r="K571" s="3" t="s">
        <v>37</v>
      </c>
      <c r="L571" s="3" t="s">
        <v>63</v>
      </c>
      <c r="M571" s="3" t="s">
        <v>3220</v>
      </c>
      <c r="N571" s="3" t="s">
        <v>120</v>
      </c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>
        <v>14000</v>
      </c>
      <c r="AB571" s="3">
        <v>3500</v>
      </c>
      <c r="AC571" s="4">
        <v>43506</v>
      </c>
      <c r="AD571" s="3" t="s">
        <v>42</v>
      </c>
      <c r="AE571" s="3" t="s">
        <v>3221</v>
      </c>
      <c r="AF571" s="3">
        <v>0</v>
      </c>
    </row>
    <row r="572" spans="1:32" ht="27.95" x14ac:dyDescent="0.3">
      <c r="A572" s="5">
        <v>566</v>
      </c>
      <c r="B572" s="5" t="str">
        <f>"201900123650"</f>
        <v>201900123650</v>
      </c>
      <c r="C572" s="5" t="str">
        <f>"83954"</f>
        <v>83954</v>
      </c>
      <c r="D572" s="5" t="s">
        <v>3222</v>
      </c>
      <c r="E572" s="5">
        <v>10209765107</v>
      </c>
      <c r="F572" s="5" t="s">
        <v>3223</v>
      </c>
      <c r="G572" s="5" t="s">
        <v>3224</v>
      </c>
      <c r="H572" s="5" t="s">
        <v>108</v>
      </c>
      <c r="I572" s="5" t="s">
        <v>598</v>
      </c>
      <c r="J572" s="5" t="s">
        <v>598</v>
      </c>
      <c r="K572" s="5" t="s">
        <v>37</v>
      </c>
      <c r="L572" s="5" t="s">
        <v>110</v>
      </c>
      <c r="M572" s="5" t="s">
        <v>3225</v>
      </c>
      <c r="N572" s="5" t="s">
        <v>459</v>
      </c>
      <c r="O572" s="5" t="s">
        <v>94</v>
      </c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>
        <v>16000</v>
      </c>
      <c r="AB572" s="5">
        <v>5000</v>
      </c>
      <c r="AC572" s="6">
        <v>43678</v>
      </c>
      <c r="AD572" s="5" t="s">
        <v>42</v>
      </c>
      <c r="AE572" s="5" t="s">
        <v>3223</v>
      </c>
      <c r="AF572" s="5">
        <v>700</v>
      </c>
    </row>
    <row r="573" spans="1:32" ht="27.95" x14ac:dyDescent="0.3">
      <c r="A573" s="3">
        <v>567</v>
      </c>
      <c r="B573" s="3" t="str">
        <f>"201900123653"</f>
        <v>201900123653</v>
      </c>
      <c r="C573" s="3" t="str">
        <f>"111636"</f>
        <v>111636</v>
      </c>
      <c r="D573" s="3" t="s">
        <v>3226</v>
      </c>
      <c r="E573" s="3">
        <v>20573866909</v>
      </c>
      <c r="F573" s="3" t="s">
        <v>3227</v>
      </c>
      <c r="G573" s="3" t="s">
        <v>3228</v>
      </c>
      <c r="H573" s="3" t="s">
        <v>108</v>
      </c>
      <c r="I573" s="3" t="s">
        <v>598</v>
      </c>
      <c r="J573" s="3" t="s">
        <v>598</v>
      </c>
      <c r="K573" s="3" t="s">
        <v>37</v>
      </c>
      <c r="L573" s="3" t="s">
        <v>3229</v>
      </c>
      <c r="M573" s="3" t="s">
        <v>166</v>
      </c>
      <c r="N573" s="3" t="s">
        <v>94</v>
      </c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>
        <v>20000</v>
      </c>
      <c r="AB573" s="3">
        <v>5000</v>
      </c>
      <c r="AC573" s="4">
        <v>43678</v>
      </c>
      <c r="AD573" s="3" t="s">
        <v>42</v>
      </c>
      <c r="AE573" s="3" t="s">
        <v>3230</v>
      </c>
      <c r="AF573" s="3">
        <v>720</v>
      </c>
    </row>
    <row r="574" spans="1:32" x14ac:dyDescent="0.3">
      <c r="A574" s="5">
        <v>568</v>
      </c>
      <c r="B574" s="5" t="str">
        <f>"202000056635"</f>
        <v>202000056635</v>
      </c>
      <c r="C574" s="5" t="str">
        <f>"18324"</f>
        <v>18324</v>
      </c>
      <c r="D574" s="5" t="s">
        <v>3231</v>
      </c>
      <c r="E574" s="5">
        <v>20127765279</v>
      </c>
      <c r="F574" s="5" t="s">
        <v>1115</v>
      </c>
      <c r="G574" s="5" t="s">
        <v>3232</v>
      </c>
      <c r="H574" s="5" t="s">
        <v>187</v>
      </c>
      <c r="I574" s="5" t="s">
        <v>2570</v>
      </c>
      <c r="J574" s="5" t="s">
        <v>2570</v>
      </c>
      <c r="K574" s="5" t="s">
        <v>37</v>
      </c>
      <c r="L574" s="5" t="s">
        <v>72</v>
      </c>
      <c r="M574" s="5" t="s">
        <v>62</v>
      </c>
      <c r="N574" s="5" t="s">
        <v>171</v>
      </c>
      <c r="O574" s="5" t="s">
        <v>161</v>
      </c>
      <c r="P574" s="5" t="s">
        <v>248</v>
      </c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22000</v>
      </c>
      <c r="AB574" s="5">
        <v>3000</v>
      </c>
      <c r="AC574" s="6">
        <v>43966</v>
      </c>
      <c r="AD574" s="5" t="s">
        <v>42</v>
      </c>
      <c r="AE574" s="5" t="s">
        <v>3154</v>
      </c>
      <c r="AF574" s="5">
        <v>0</v>
      </c>
    </row>
    <row r="575" spans="1:32" x14ac:dyDescent="0.3">
      <c r="A575" s="3">
        <v>569</v>
      </c>
      <c r="B575" s="3" t="str">
        <f>"202000056632"</f>
        <v>202000056632</v>
      </c>
      <c r="C575" s="3" t="str">
        <f>"18314"</f>
        <v>18314</v>
      </c>
      <c r="D575" s="3" t="s">
        <v>3233</v>
      </c>
      <c r="E575" s="3">
        <v>20127765279</v>
      </c>
      <c r="F575" s="3" t="s">
        <v>1115</v>
      </c>
      <c r="G575" s="3" t="s">
        <v>3234</v>
      </c>
      <c r="H575" s="3" t="s">
        <v>187</v>
      </c>
      <c r="I575" s="3" t="s">
        <v>187</v>
      </c>
      <c r="J575" s="3" t="s">
        <v>187</v>
      </c>
      <c r="K575" s="3" t="s">
        <v>37</v>
      </c>
      <c r="L575" s="3" t="s">
        <v>3235</v>
      </c>
      <c r="M575" s="3" t="s">
        <v>171</v>
      </c>
      <c r="N575" s="3" t="s">
        <v>862</v>
      </c>
      <c r="O575" s="3" t="s">
        <v>172</v>
      </c>
      <c r="P575" s="3" t="s">
        <v>248</v>
      </c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>
        <v>20200</v>
      </c>
      <c r="AB575" s="3">
        <v>3000</v>
      </c>
      <c r="AC575" s="4">
        <v>43966</v>
      </c>
      <c r="AD575" s="3" t="s">
        <v>42</v>
      </c>
      <c r="AE575" s="3" t="s">
        <v>1898</v>
      </c>
      <c r="AF575" s="3">
        <v>0</v>
      </c>
    </row>
    <row r="576" spans="1:32" x14ac:dyDescent="0.3">
      <c r="A576" s="5">
        <v>570</v>
      </c>
      <c r="B576" s="5" t="str">
        <f>"201600150902"</f>
        <v>201600150902</v>
      </c>
      <c r="C576" s="5" t="str">
        <f>"9259"</f>
        <v>9259</v>
      </c>
      <c r="D576" s="5" t="s">
        <v>3236</v>
      </c>
      <c r="E576" s="5">
        <v>10164169150</v>
      </c>
      <c r="F576" s="5" t="s">
        <v>3237</v>
      </c>
      <c r="G576" s="5" t="s">
        <v>3238</v>
      </c>
      <c r="H576" s="5" t="s">
        <v>36</v>
      </c>
      <c r="I576" s="5" t="s">
        <v>409</v>
      </c>
      <c r="J576" s="5" t="s">
        <v>410</v>
      </c>
      <c r="K576" s="5" t="s">
        <v>37</v>
      </c>
      <c r="L576" s="5" t="s">
        <v>3239</v>
      </c>
      <c r="M576" s="5" t="s">
        <v>2175</v>
      </c>
      <c r="N576" s="5" t="s">
        <v>3240</v>
      </c>
      <c r="O576" s="5" t="s">
        <v>103</v>
      </c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>
        <v>6950</v>
      </c>
      <c r="AB576" s="5">
        <v>2500</v>
      </c>
      <c r="AC576" s="6">
        <v>42662</v>
      </c>
      <c r="AD576" s="5" t="s">
        <v>42</v>
      </c>
      <c r="AE576" s="5" t="s">
        <v>3237</v>
      </c>
      <c r="AF576" s="5">
        <v>0</v>
      </c>
    </row>
    <row r="577" spans="1:32" x14ac:dyDescent="0.3">
      <c r="A577" s="3">
        <v>571</v>
      </c>
      <c r="B577" s="3" t="str">
        <f>"201800116522"</f>
        <v>201800116522</v>
      </c>
      <c r="C577" s="3" t="str">
        <f>"137469"</f>
        <v>137469</v>
      </c>
      <c r="D577" s="3" t="s">
        <v>3241</v>
      </c>
      <c r="E577" s="3">
        <v>20119207640</v>
      </c>
      <c r="F577" s="3" t="s">
        <v>522</v>
      </c>
      <c r="G577" s="3" t="s">
        <v>3242</v>
      </c>
      <c r="H577" s="3" t="s">
        <v>656</v>
      </c>
      <c r="I577" s="3" t="s">
        <v>656</v>
      </c>
      <c r="J577" s="3" t="s">
        <v>656</v>
      </c>
      <c r="K577" s="3" t="s">
        <v>37</v>
      </c>
      <c r="L577" s="3" t="s">
        <v>3243</v>
      </c>
      <c r="M577" s="3" t="s">
        <v>189</v>
      </c>
      <c r="N577" s="3" t="s">
        <v>3244</v>
      </c>
      <c r="O577" s="3" t="s">
        <v>3245</v>
      </c>
      <c r="P577" s="3" t="s">
        <v>3246</v>
      </c>
      <c r="Q577" s="3" t="s">
        <v>480</v>
      </c>
      <c r="R577" s="3"/>
      <c r="S577" s="3"/>
      <c r="T577" s="3"/>
      <c r="U577" s="3"/>
      <c r="V577" s="3"/>
      <c r="W577" s="3"/>
      <c r="X577" s="3"/>
      <c r="Y577" s="3"/>
      <c r="Z577" s="3"/>
      <c r="AA577" s="3">
        <v>33000</v>
      </c>
      <c r="AB577" s="3">
        <v>7800</v>
      </c>
      <c r="AC577" s="4">
        <v>43294</v>
      </c>
      <c r="AD577" s="3" t="s">
        <v>42</v>
      </c>
      <c r="AE577" s="3" t="s">
        <v>3247</v>
      </c>
      <c r="AF577" s="3">
        <v>0</v>
      </c>
    </row>
    <row r="578" spans="1:32" ht="27.95" x14ac:dyDescent="0.3">
      <c r="A578" s="5">
        <v>572</v>
      </c>
      <c r="B578" s="5" t="str">
        <f>"202000056636"</f>
        <v>202000056636</v>
      </c>
      <c r="C578" s="5" t="str">
        <f>"125172"</f>
        <v>125172</v>
      </c>
      <c r="D578" s="5" t="s">
        <v>3248</v>
      </c>
      <c r="E578" s="5">
        <v>20600753488</v>
      </c>
      <c r="F578" s="5" t="s">
        <v>3249</v>
      </c>
      <c r="G578" s="5" t="s">
        <v>3250</v>
      </c>
      <c r="H578" s="5" t="s">
        <v>108</v>
      </c>
      <c r="I578" s="5" t="s">
        <v>647</v>
      </c>
      <c r="J578" s="5" t="s">
        <v>1117</v>
      </c>
      <c r="K578" s="5" t="s">
        <v>37</v>
      </c>
      <c r="L578" s="5" t="s">
        <v>3251</v>
      </c>
      <c r="M578" s="5" t="s">
        <v>3252</v>
      </c>
      <c r="N578" s="5" t="s">
        <v>110</v>
      </c>
      <c r="O578" s="5" t="s">
        <v>94</v>
      </c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>
        <v>19500</v>
      </c>
      <c r="AB578" s="5">
        <v>5000</v>
      </c>
      <c r="AC578" s="6">
        <v>43966</v>
      </c>
      <c r="AD578" s="5" t="s">
        <v>42</v>
      </c>
      <c r="AE578" s="5" t="s">
        <v>3253</v>
      </c>
      <c r="AF578" s="5">
        <v>240</v>
      </c>
    </row>
    <row r="579" spans="1:32" ht="27.95" x14ac:dyDescent="0.3">
      <c r="A579" s="3">
        <v>573</v>
      </c>
      <c r="B579" s="3" t="str">
        <f>"202000069352"</f>
        <v>202000069352</v>
      </c>
      <c r="C579" s="3" t="str">
        <f>"7233"</f>
        <v>7233</v>
      </c>
      <c r="D579" s="3" t="s">
        <v>3254</v>
      </c>
      <c r="E579" s="3">
        <v>20568798113</v>
      </c>
      <c r="F579" s="3" t="s">
        <v>2040</v>
      </c>
      <c r="G579" s="3" t="s">
        <v>3255</v>
      </c>
      <c r="H579" s="3" t="s">
        <v>58</v>
      </c>
      <c r="I579" s="3" t="s">
        <v>823</v>
      </c>
      <c r="J579" s="3" t="s">
        <v>823</v>
      </c>
      <c r="K579" s="3" t="s">
        <v>37</v>
      </c>
      <c r="L579" s="3" t="s">
        <v>262</v>
      </c>
      <c r="M579" s="3" t="s">
        <v>63</v>
      </c>
      <c r="N579" s="3" t="s">
        <v>3256</v>
      </c>
      <c r="O579" s="3" t="s">
        <v>154</v>
      </c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>
        <v>18000</v>
      </c>
      <c r="AB579" s="3">
        <v>6000</v>
      </c>
      <c r="AC579" s="4">
        <v>44047</v>
      </c>
      <c r="AD579" s="3" t="s">
        <v>42</v>
      </c>
      <c r="AE579" s="3" t="s">
        <v>2043</v>
      </c>
      <c r="AF579" s="3">
        <v>120</v>
      </c>
    </row>
    <row r="580" spans="1:32" ht="27.95" x14ac:dyDescent="0.3">
      <c r="A580" s="5">
        <v>574</v>
      </c>
      <c r="B580" s="5" t="str">
        <f>"201800205006"</f>
        <v>201800205006</v>
      </c>
      <c r="C580" s="5" t="str">
        <f>"140271"</f>
        <v>140271</v>
      </c>
      <c r="D580" s="5" t="s">
        <v>3257</v>
      </c>
      <c r="E580" s="5">
        <v>20440135502</v>
      </c>
      <c r="F580" s="5" t="s">
        <v>3258</v>
      </c>
      <c r="G580" s="5" t="s">
        <v>3259</v>
      </c>
      <c r="H580" s="5" t="s">
        <v>219</v>
      </c>
      <c r="I580" s="5" t="s">
        <v>220</v>
      </c>
      <c r="J580" s="5" t="s">
        <v>220</v>
      </c>
      <c r="K580" s="5" t="s">
        <v>37</v>
      </c>
      <c r="L580" s="5" t="s">
        <v>172</v>
      </c>
      <c r="M580" s="5" t="s">
        <v>74</v>
      </c>
      <c r="N580" s="5" t="s">
        <v>3260</v>
      </c>
      <c r="O580" s="5" t="s">
        <v>94</v>
      </c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>
        <v>12000</v>
      </c>
      <c r="AB580" s="5">
        <v>5000</v>
      </c>
      <c r="AC580" s="6">
        <v>43462</v>
      </c>
      <c r="AD580" s="5" t="s">
        <v>42</v>
      </c>
      <c r="AE580" s="5" t="s">
        <v>3261</v>
      </c>
      <c r="AF580" s="5">
        <v>0</v>
      </c>
    </row>
    <row r="581" spans="1:32" ht="27.95" x14ac:dyDescent="0.3">
      <c r="A581" s="3">
        <v>575</v>
      </c>
      <c r="B581" s="3" t="str">
        <f>"201900108844"</f>
        <v>201900108844</v>
      </c>
      <c r="C581" s="3" t="str">
        <f>"144359"</f>
        <v>144359</v>
      </c>
      <c r="D581" s="3" t="s">
        <v>3262</v>
      </c>
      <c r="E581" s="3">
        <v>20506151547</v>
      </c>
      <c r="F581" s="3" t="s">
        <v>1522</v>
      </c>
      <c r="G581" s="3" t="s">
        <v>3263</v>
      </c>
      <c r="H581" s="3" t="s">
        <v>58</v>
      </c>
      <c r="I581" s="3" t="s">
        <v>58</v>
      </c>
      <c r="J581" s="3" t="s">
        <v>58</v>
      </c>
      <c r="K581" s="3" t="s">
        <v>37</v>
      </c>
      <c r="L581" s="3" t="s">
        <v>1111</v>
      </c>
      <c r="M581" s="3" t="s">
        <v>555</v>
      </c>
      <c r="N581" s="3" t="s">
        <v>3264</v>
      </c>
      <c r="O581" s="3" t="s">
        <v>161</v>
      </c>
      <c r="P581" s="3" t="s">
        <v>3265</v>
      </c>
      <c r="Q581" s="3" t="s">
        <v>78</v>
      </c>
      <c r="R581" s="3"/>
      <c r="S581" s="3"/>
      <c r="T581" s="3"/>
      <c r="U581" s="3"/>
      <c r="V581" s="3"/>
      <c r="W581" s="3"/>
      <c r="X581" s="3"/>
      <c r="Y581" s="3"/>
      <c r="Z581" s="3"/>
      <c r="AA581" s="3">
        <v>42000</v>
      </c>
      <c r="AB581" s="3">
        <v>3200</v>
      </c>
      <c r="AC581" s="4">
        <v>43657</v>
      </c>
      <c r="AD581" s="3" t="s">
        <v>42</v>
      </c>
      <c r="AE581" s="3" t="s">
        <v>2450</v>
      </c>
      <c r="AF581" s="3">
        <v>0</v>
      </c>
    </row>
    <row r="582" spans="1:32" x14ac:dyDescent="0.3">
      <c r="A582" s="5">
        <v>576</v>
      </c>
      <c r="B582" s="5" t="str">
        <f>"201800055378"</f>
        <v>201800055378</v>
      </c>
      <c r="C582" s="5" t="str">
        <f>"129374"</f>
        <v>129374</v>
      </c>
      <c r="D582" s="5" t="s">
        <v>3266</v>
      </c>
      <c r="E582" s="5">
        <v>20565275756</v>
      </c>
      <c r="F582" s="5" t="s">
        <v>3267</v>
      </c>
      <c r="G582" s="5" t="s">
        <v>3268</v>
      </c>
      <c r="H582" s="5" t="s">
        <v>47</v>
      </c>
      <c r="I582" s="5" t="s">
        <v>47</v>
      </c>
      <c r="J582" s="5" t="s">
        <v>1636</v>
      </c>
      <c r="K582" s="5" t="s">
        <v>37</v>
      </c>
      <c r="L582" s="5" t="s">
        <v>166</v>
      </c>
      <c r="M582" s="5" t="s">
        <v>166</v>
      </c>
      <c r="N582" s="5" t="s">
        <v>50</v>
      </c>
      <c r="O582" s="5" t="s">
        <v>3269</v>
      </c>
      <c r="P582" s="5" t="s">
        <v>174</v>
      </c>
      <c r="Q582" s="5" t="s">
        <v>174</v>
      </c>
      <c r="R582" s="5" t="s">
        <v>94</v>
      </c>
      <c r="S582" s="5"/>
      <c r="T582" s="5"/>
      <c r="U582" s="5"/>
      <c r="V582" s="5"/>
      <c r="W582" s="5"/>
      <c r="X582" s="5"/>
      <c r="Y582" s="5"/>
      <c r="Z582" s="5"/>
      <c r="AA582" s="5">
        <v>38000</v>
      </c>
      <c r="AB582" s="5">
        <v>5000</v>
      </c>
      <c r="AC582" s="6">
        <v>43196</v>
      </c>
      <c r="AD582" s="5" t="s">
        <v>42</v>
      </c>
      <c r="AE582" s="5" t="s">
        <v>3151</v>
      </c>
      <c r="AF582" s="5">
        <v>0</v>
      </c>
    </row>
    <row r="583" spans="1:32" ht="27.95" x14ac:dyDescent="0.3">
      <c r="A583" s="3">
        <v>577</v>
      </c>
      <c r="B583" s="3" t="str">
        <f>"201900141196"</f>
        <v>201900141196</v>
      </c>
      <c r="C583" s="3" t="str">
        <f>"105319"</f>
        <v>105319</v>
      </c>
      <c r="D583" s="3" t="s">
        <v>3270</v>
      </c>
      <c r="E583" s="3">
        <v>20602816371</v>
      </c>
      <c r="F583" s="3" t="s">
        <v>3271</v>
      </c>
      <c r="G583" s="3" t="s">
        <v>3272</v>
      </c>
      <c r="H583" s="3" t="s">
        <v>116</v>
      </c>
      <c r="I583" s="3" t="s">
        <v>339</v>
      </c>
      <c r="J583" s="3" t="s">
        <v>612</v>
      </c>
      <c r="K583" s="3" t="s">
        <v>37</v>
      </c>
      <c r="L583" s="3" t="s">
        <v>1169</v>
      </c>
      <c r="M583" s="3" t="s">
        <v>1367</v>
      </c>
      <c r="N583" s="3" t="s">
        <v>74</v>
      </c>
      <c r="O583" s="3" t="s">
        <v>555</v>
      </c>
      <c r="P583" s="3" t="s">
        <v>94</v>
      </c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>
        <v>15000</v>
      </c>
      <c r="AB583" s="3">
        <v>5000</v>
      </c>
      <c r="AC583" s="4">
        <v>43717</v>
      </c>
      <c r="AD583" s="3" t="s">
        <v>42</v>
      </c>
      <c r="AE583" s="3" t="s">
        <v>3273</v>
      </c>
      <c r="AF583" s="3">
        <v>720</v>
      </c>
    </row>
    <row r="584" spans="1:32" x14ac:dyDescent="0.3">
      <c r="A584" s="5">
        <v>578</v>
      </c>
      <c r="B584" s="5" t="str">
        <f>"201900168452"</f>
        <v>201900168452</v>
      </c>
      <c r="C584" s="5" t="str">
        <f>"83561"</f>
        <v>83561</v>
      </c>
      <c r="D584" s="5" t="s">
        <v>3274</v>
      </c>
      <c r="E584" s="5">
        <v>20601901723</v>
      </c>
      <c r="F584" s="5" t="s">
        <v>3275</v>
      </c>
      <c r="G584" s="5" t="s">
        <v>3276</v>
      </c>
      <c r="H584" s="5" t="s">
        <v>125</v>
      </c>
      <c r="I584" s="5" t="s">
        <v>125</v>
      </c>
      <c r="J584" s="5" t="s">
        <v>125</v>
      </c>
      <c r="K584" s="5" t="s">
        <v>37</v>
      </c>
      <c r="L584" s="5" t="s">
        <v>387</v>
      </c>
      <c r="M584" s="5" t="s">
        <v>74</v>
      </c>
      <c r="N584" s="5" t="s">
        <v>555</v>
      </c>
      <c r="O584" s="5" t="s">
        <v>154</v>
      </c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>
        <v>15000</v>
      </c>
      <c r="AB584" s="5">
        <v>6000</v>
      </c>
      <c r="AC584" s="6">
        <v>43754</v>
      </c>
      <c r="AD584" s="5" t="s">
        <v>42</v>
      </c>
      <c r="AE584" s="5" t="s">
        <v>3277</v>
      </c>
      <c r="AF584" s="5">
        <v>0</v>
      </c>
    </row>
    <row r="585" spans="1:32" ht="27.95" x14ac:dyDescent="0.3">
      <c r="A585" s="3">
        <v>579</v>
      </c>
      <c r="B585" s="3" t="str">
        <f>"201900204280"</f>
        <v>201900204280</v>
      </c>
      <c r="C585" s="3" t="str">
        <f>"17843"</f>
        <v>17843</v>
      </c>
      <c r="D585" s="3" t="s">
        <v>3278</v>
      </c>
      <c r="E585" s="3">
        <v>20127765279</v>
      </c>
      <c r="F585" s="3" t="s">
        <v>1115</v>
      </c>
      <c r="G585" s="3" t="s">
        <v>3279</v>
      </c>
      <c r="H585" s="3" t="s">
        <v>219</v>
      </c>
      <c r="I585" s="3" t="s">
        <v>220</v>
      </c>
      <c r="J585" s="3" t="s">
        <v>908</v>
      </c>
      <c r="K585" s="3" t="s">
        <v>37</v>
      </c>
      <c r="L585" s="3" t="s">
        <v>3280</v>
      </c>
      <c r="M585" s="3" t="s">
        <v>3281</v>
      </c>
      <c r="N585" s="3" t="s">
        <v>3282</v>
      </c>
      <c r="O585" s="3" t="s">
        <v>3283</v>
      </c>
      <c r="P585" s="3" t="s">
        <v>3284</v>
      </c>
      <c r="Q585" s="3" t="s">
        <v>3285</v>
      </c>
      <c r="R585" s="3" t="s">
        <v>248</v>
      </c>
      <c r="S585" s="3"/>
      <c r="T585" s="3"/>
      <c r="U585" s="3"/>
      <c r="V585" s="3"/>
      <c r="W585" s="3"/>
      <c r="X585" s="3"/>
      <c r="Y585" s="3"/>
      <c r="Z585" s="3"/>
      <c r="AA585" s="3">
        <v>15439</v>
      </c>
      <c r="AB585" s="3">
        <v>3000</v>
      </c>
      <c r="AC585" s="4">
        <v>43811</v>
      </c>
      <c r="AD585" s="3" t="s">
        <v>42</v>
      </c>
      <c r="AE585" s="3" t="s">
        <v>279</v>
      </c>
      <c r="AF585" s="3">
        <v>240</v>
      </c>
    </row>
    <row r="586" spans="1:32" x14ac:dyDescent="0.3">
      <c r="A586" s="5">
        <v>580</v>
      </c>
      <c r="B586" s="5" t="str">
        <f>"201900073020"</f>
        <v>201900073020</v>
      </c>
      <c r="C586" s="5" t="str">
        <f>"40511"</f>
        <v>40511</v>
      </c>
      <c r="D586" s="5" t="s">
        <v>3286</v>
      </c>
      <c r="E586" s="5">
        <v>20231266993</v>
      </c>
      <c r="F586" s="5" t="s">
        <v>3287</v>
      </c>
      <c r="G586" s="5" t="s">
        <v>3288</v>
      </c>
      <c r="H586" s="5" t="s">
        <v>150</v>
      </c>
      <c r="I586" s="5" t="s">
        <v>150</v>
      </c>
      <c r="J586" s="5" t="s">
        <v>3289</v>
      </c>
      <c r="K586" s="5" t="s">
        <v>37</v>
      </c>
      <c r="L586" s="5" t="s">
        <v>166</v>
      </c>
      <c r="M586" s="5" t="s">
        <v>166</v>
      </c>
      <c r="N586" s="5" t="s">
        <v>166</v>
      </c>
      <c r="O586" s="5" t="s">
        <v>166</v>
      </c>
      <c r="P586" s="5" t="s">
        <v>166</v>
      </c>
      <c r="Q586" s="5" t="s">
        <v>2835</v>
      </c>
      <c r="R586" s="5" t="s">
        <v>2835</v>
      </c>
      <c r="S586" s="5" t="s">
        <v>2835</v>
      </c>
      <c r="T586" s="5" t="s">
        <v>2834</v>
      </c>
      <c r="U586" s="5" t="s">
        <v>2834</v>
      </c>
      <c r="V586" s="5" t="s">
        <v>166</v>
      </c>
      <c r="W586" s="5" t="s">
        <v>2835</v>
      </c>
      <c r="X586" s="5" t="s">
        <v>2834</v>
      </c>
      <c r="Y586" s="5" t="s">
        <v>3290</v>
      </c>
      <c r="Z586" s="5" t="s">
        <v>94</v>
      </c>
      <c r="AA586" s="5">
        <v>140000</v>
      </c>
      <c r="AB586" s="5">
        <v>5000</v>
      </c>
      <c r="AC586" s="6">
        <v>43593</v>
      </c>
      <c r="AD586" s="5" t="s">
        <v>42</v>
      </c>
      <c r="AE586" s="5" t="s">
        <v>2838</v>
      </c>
      <c r="AF586" s="5">
        <v>720</v>
      </c>
    </row>
    <row r="587" spans="1:32" ht="27.95" x14ac:dyDescent="0.3">
      <c r="A587" s="3">
        <v>581</v>
      </c>
      <c r="B587" s="3" t="str">
        <f>"201800111642"</f>
        <v>201800111642</v>
      </c>
      <c r="C587" s="3" t="str">
        <f>"128292"</f>
        <v>128292</v>
      </c>
      <c r="D587" s="3" t="s">
        <v>3291</v>
      </c>
      <c r="E587" s="3">
        <v>20601945925</v>
      </c>
      <c r="F587" s="3" t="s">
        <v>3292</v>
      </c>
      <c r="G587" s="3" t="s">
        <v>3293</v>
      </c>
      <c r="H587" s="3" t="s">
        <v>47</v>
      </c>
      <c r="I587" s="3" t="s">
        <v>47</v>
      </c>
      <c r="J587" s="3" t="s">
        <v>2880</v>
      </c>
      <c r="K587" s="3" t="s">
        <v>37</v>
      </c>
      <c r="L587" s="3" t="s">
        <v>72</v>
      </c>
      <c r="M587" s="3" t="s">
        <v>102</v>
      </c>
      <c r="N587" s="3" t="s">
        <v>51</v>
      </c>
      <c r="O587" s="3" t="s">
        <v>3294</v>
      </c>
      <c r="P587" s="3" t="s">
        <v>94</v>
      </c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>
        <v>23000</v>
      </c>
      <c r="AB587" s="3">
        <v>5000</v>
      </c>
      <c r="AC587" s="4">
        <v>43290</v>
      </c>
      <c r="AD587" s="3" t="s">
        <v>42</v>
      </c>
      <c r="AE587" s="3" t="s">
        <v>3295</v>
      </c>
      <c r="AF587" s="3">
        <v>0</v>
      </c>
    </row>
    <row r="588" spans="1:32" ht="27.95" x14ac:dyDescent="0.3">
      <c r="A588" s="5">
        <v>582</v>
      </c>
      <c r="B588" s="5" t="str">
        <f>"201800142761"</f>
        <v>201800142761</v>
      </c>
      <c r="C588" s="5" t="str">
        <f>"8569"</f>
        <v>8569</v>
      </c>
      <c r="D588" s="5" t="s">
        <v>3296</v>
      </c>
      <c r="E588" s="5">
        <v>20489432090</v>
      </c>
      <c r="F588" s="5" t="s">
        <v>3297</v>
      </c>
      <c r="G588" s="5" t="s">
        <v>3298</v>
      </c>
      <c r="H588" s="5" t="s">
        <v>125</v>
      </c>
      <c r="I588" s="5" t="s">
        <v>125</v>
      </c>
      <c r="J588" s="5" t="s">
        <v>126</v>
      </c>
      <c r="K588" s="5" t="s">
        <v>37</v>
      </c>
      <c r="L588" s="5" t="s">
        <v>683</v>
      </c>
      <c r="M588" s="5" t="s">
        <v>929</v>
      </c>
      <c r="N588" s="5" t="s">
        <v>3299</v>
      </c>
      <c r="O588" s="5" t="s">
        <v>1906</v>
      </c>
      <c r="P588" s="5" t="s">
        <v>94</v>
      </c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>
        <v>21000</v>
      </c>
      <c r="AB588" s="5">
        <v>5000</v>
      </c>
      <c r="AC588" s="6">
        <v>43347</v>
      </c>
      <c r="AD588" s="5" t="s">
        <v>42</v>
      </c>
      <c r="AE588" s="5" t="s">
        <v>3300</v>
      </c>
      <c r="AF588" s="5">
        <v>240</v>
      </c>
    </row>
    <row r="589" spans="1:32" ht="27.95" x14ac:dyDescent="0.3">
      <c r="A589" s="3">
        <v>583</v>
      </c>
      <c r="B589" s="3" t="str">
        <f>"201400066588"</f>
        <v>201400066588</v>
      </c>
      <c r="C589" s="3" t="str">
        <f>"14538"</f>
        <v>14538</v>
      </c>
      <c r="D589" s="3" t="s">
        <v>3301</v>
      </c>
      <c r="E589" s="3">
        <v>20112401351</v>
      </c>
      <c r="F589" s="3" t="s">
        <v>473</v>
      </c>
      <c r="G589" s="3" t="s">
        <v>3302</v>
      </c>
      <c r="H589" s="3" t="s">
        <v>108</v>
      </c>
      <c r="I589" s="3" t="s">
        <v>475</v>
      </c>
      <c r="J589" s="3" t="s">
        <v>475</v>
      </c>
      <c r="K589" s="3" t="s">
        <v>37</v>
      </c>
      <c r="L589" s="3" t="s">
        <v>950</v>
      </c>
      <c r="M589" s="3" t="s">
        <v>3303</v>
      </c>
      <c r="N589" s="3" t="s">
        <v>73</v>
      </c>
      <c r="O589" s="3" t="s">
        <v>94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>
        <v>24000</v>
      </c>
      <c r="AB589" s="3">
        <v>5000</v>
      </c>
      <c r="AC589" s="4">
        <v>41794</v>
      </c>
      <c r="AD589" s="3" t="s">
        <v>42</v>
      </c>
      <c r="AE589" s="3" t="s">
        <v>3304</v>
      </c>
      <c r="AF589" s="3">
        <v>240</v>
      </c>
    </row>
    <row r="590" spans="1:32" ht="27.95" x14ac:dyDescent="0.3">
      <c r="A590" s="5">
        <v>584</v>
      </c>
      <c r="B590" s="5" t="str">
        <f>"201800120689"</f>
        <v>201800120689</v>
      </c>
      <c r="C590" s="5" t="str">
        <f>"136971"</f>
        <v>136971</v>
      </c>
      <c r="D590" s="5" t="s">
        <v>3305</v>
      </c>
      <c r="E590" s="5">
        <v>20534376309</v>
      </c>
      <c r="F590" s="5" t="s">
        <v>3306</v>
      </c>
      <c r="G590" s="5" t="s">
        <v>3307</v>
      </c>
      <c r="H590" s="5" t="s">
        <v>47</v>
      </c>
      <c r="I590" s="5" t="s">
        <v>47</v>
      </c>
      <c r="J590" s="5" t="s">
        <v>978</v>
      </c>
      <c r="K590" s="5" t="s">
        <v>37</v>
      </c>
      <c r="L590" s="5" t="s">
        <v>63</v>
      </c>
      <c r="M590" s="5" t="s">
        <v>174</v>
      </c>
      <c r="N590" s="5" t="s">
        <v>358</v>
      </c>
      <c r="O590" s="5" t="s">
        <v>78</v>
      </c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>
        <v>14000</v>
      </c>
      <c r="AB590" s="5">
        <v>3200</v>
      </c>
      <c r="AC590" s="6">
        <v>43306</v>
      </c>
      <c r="AD590" s="5" t="s">
        <v>42</v>
      </c>
      <c r="AE590" s="5" t="s">
        <v>3308</v>
      </c>
      <c r="AF590" s="5">
        <v>0</v>
      </c>
    </row>
    <row r="591" spans="1:32" x14ac:dyDescent="0.3">
      <c r="A591" s="3">
        <v>585</v>
      </c>
      <c r="B591" s="3" t="str">
        <f>"201700126830"</f>
        <v>201700126830</v>
      </c>
      <c r="C591" s="3" t="str">
        <f>"7319"</f>
        <v>7319</v>
      </c>
      <c r="D591" s="3" t="s">
        <v>3309</v>
      </c>
      <c r="E591" s="3">
        <v>20100012007</v>
      </c>
      <c r="F591" s="3" t="s">
        <v>3310</v>
      </c>
      <c r="G591" s="3" t="s">
        <v>3311</v>
      </c>
      <c r="H591" s="3" t="s">
        <v>329</v>
      </c>
      <c r="I591" s="3" t="s">
        <v>329</v>
      </c>
      <c r="J591" s="3" t="s">
        <v>3312</v>
      </c>
      <c r="K591" s="3" t="s">
        <v>37</v>
      </c>
      <c r="L591" s="3" t="s">
        <v>63</v>
      </c>
      <c r="M591" s="3" t="s">
        <v>263</v>
      </c>
      <c r="N591" s="3" t="s">
        <v>65</v>
      </c>
      <c r="O591" s="3" t="s">
        <v>161</v>
      </c>
      <c r="P591" s="3" t="s">
        <v>263</v>
      </c>
      <c r="Q591" s="3" t="s">
        <v>103</v>
      </c>
      <c r="R591" s="3"/>
      <c r="S591" s="3"/>
      <c r="T591" s="3"/>
      <c r="U591" s="3"/>
      <c r="V591" s="3"/>
      <c r="W591" s="3"/>
      <c r="X591" s="3"/>
      <c r="Y591" s="3"/>
      <c r="Z591" s="3"/>
      <c r="AA591" s="3">
        <v>28000</v>
      </c>
      <c r="AB591" s="3">
        <v>2500</v>
      </c>
      <c r="AC591" s="4">
        <v>42962</v>
      </c>
      <c r="AD591" s="3" t="s">
        <v>42</v>
      </c>
      <c r="AE591" s="3" t="s">
        <v>3313</v>
      </c>
      <c r="AF591" s="3">
        <v>0</v>
      </c>
    </row>
    <row r="592" spans="1:32" ht="27.95" x14ac:dyDescent="0.3">
      <c r="A592" s="5">
        <v>586</v>
      </c>
      <c r="B592" s="5" t="str">
        <f>"201600126967"</f>
        <v>201600126967</v>
      </c>
      <c r="C592" s="5" t="str">
        <f>"7183"</f>
        <v>7183</v>
      </c>
      <c r="D592" s="5" t="s">
        <v>3314</v>
      </c>
      <c r="E592" s="5">
        <v>20458378747</v>
      </c>
      <c r="F592" s="5" t="s">
        <v>3315</v>
      </c>
      <c r="G592" s="5" t="s">
        <v>3316</v>
      </c>
      <c r="H592" s="5" t="s">
        <v>36</v>
      </c>
      <c r="I592" s="5" t="s">
        <v>409</v>
      </c>
      <c r="J592" s="5" t="s">
        <v>410</v>
      </c>
      <c r="K592" s="5" t="s">
        <v>37</v>
      </c>
      <c r="L592" s="5" t="s">
        <v>3317</v>
      </c>
      <c r="M592" s="5" t="s">
        <v>3318</v>
      </c>
      <c r="N592" s="5" t="s">
        <v>570</v>
      </c>
      <c r="O592" s="5" t="s">
        <v>3319</v>
      </c>
      <c r="P592" s="5" t="s">
        <v>78</v>
      </c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>
        <v>13175</v>
      </c>
      <c r="AB592" s="5">
        <v>3200</v>
      </c>
      <c r="AC592" s="6">
        <v>42617</v>
      </c>
      <c r="AD592" s="5" t="s">
        <v>42</v>
      </c>
      <c r="AE592" s="5" t="s">
        <v>3320</v>
      </c>
      <c r="AF592" s="5">
        <v>720</v>
      </c>
    </row>
    <row r="593" spans="1:32" ht="27.95" x14ac:dyDescent="0.3">
      <c r="A593" s="3">
        <v>587</v>
      </c>
      <c r="B593" s="3" t="str">
        <f>"201700081288"</f>
        <v>201700081288</v>
      </c>
      <c r="C593" s="3" t="str">
        <f>"18824"</f>
        <v>18824</v>
      </c>
      <c r="D593" s="3" t="s">
        <v>3321</v>
      </c>
      <c r="E593" s="3">
        <v>20503840121</v>
      </c>
      <c r="F593" s="3" t="s">
        <v>393</v>
      </c>
      <c r="G593" s="3" t="s">
        <v>3322</v>
      </c>
      <c r="H593" s="3" t="s">
        <v>58</v>
      </c>
      <c r="I593" s="3" t="s">
        <v>58</v>
      </c>
      <c r="J593" s="3" t="s">
        <v>58</v>
      </c>
      <c r="K593" s="3" t="s">
        <v>37</v>
      </c>
      <c r="L593" s="3" t="s">
        <v>404</v>
      </c>
      <c r="M593" s="3" t="s">
        <v>171</v>
      </c>
      <c r="N593" s="3" t="s">
        <v>171</v>
      </c>
      <c r="O593" s="3" t="s">
        <v>174</v>
      </c>
      <c r="P593" s="3" t="s">
        <v>72</v>
      </c>
      <c r="Q593" s="3" t="s">
        <v>3323</v>
      </c>
      <c r="R593" s="3" t="s">
        <v>3324</v>
      </c>
      <c r="S593" s="3"/>
      <c r="T593" s="3"/>
      <c r="U593" s="3"/>
      <c r="V593" s="3"/>
      <c r="W593" s="3"/>
      <c r="X593" s="3"/>
      <c r="Y593" s="3"/>
      <c r="Z593" s="3"/>
      <c r="AA593" s="3">
        <v>28000</v>
      </c>
      <c r="AB593" s="3">
        <v>4180</v>
      </c>
      <c r="AC593" s="4">
        <v>42886</v>
      </c>
      <c r="AD593" s="3" t="s">
        <v>42</v>
      </c>
      <c r="AE593" s="3" t="s">
        <v>2653</v>
      </c>
      <c r="AF593" s="3">
        <v>0</v>
      </c>
    </row>
    <row r="594" spans="1:32" ht="27.95" x14ac:dyDescent="0.3">
      <c r="A594" s="5">
        <v>588</v>
      </c>
      <c r="B594" s="5" t="str">
        <f>"201700048393"</f>
        <v>201700048393</v>
      </c>
      <c r="C594" s="5" t="str">
        <f>"7188"</f>
        <v>7188</v>
      </c>
      <c r="D594" s="5" t="s">
        <v>3325</v>
      </c>
      <c r="E594" s="5">
        <v>20499591927</v>
      </c>
      <c r="F594" s="5" t="s">
        <v>3326</v>
      </c>
      <c r="G594" s="5" t="s">
        <v>3327</v>
      </c>
      <c r="H594" s="5" t="s">
        <v>58</v>
      </c>
      <c r="I594" s="5" t="s">
        <v>58</v>
      </c>
      <c r="J594" s="5" t="s">
        <v>99</v>
      </c>
      <c r="K594" s="5" t="s">
        <v>37</v>
      </c>
      <c r="L594" s="5" t="s">
        <v>1255</v>
      </c>
      <c r="M594" s="5" t="s">
        <v>61</v>
      </c>
      <c r="N594" s="5" t="s">
        <v>72</v>
      </c>
      <c r="O594" s="5" t="s">
        <v>380</v>
      </c>
      <c r="P594" s="5" t="s">
        <v>78</v>
      </c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>
        <v>32000</v>
      </c>
      <c r="AB594" s="5">
        <v>3200</v>
      </c>
      <c r="AC594" s="6">
        <v>42852</v>
      </c>
      <c r="AD594" s="5" t="s">
        <v>42</v>
      </c>
      <c r="AE594" s="5" t="s">
        <v>3328</v>
      </c>
      <c r="AF594" s="5">
        <v>0</v>
      </c>
    </row>
    <row r="595" spans="1:32" ht="41.95" x14ac:dyDescent="0.3">
      <c r="A595" s="3">
        <v>589</v>
      </c>
      <c r="B595" s="3" t="str">
        <f>"202000146225"</f>
        <v>202000146225</v>
      </c>
      <c r="C595" s="3" t="str">
        <f>"44661"</f>
        <v>44661</v>
      </c>
      <c r="D595" s="3" t="s">
        <v>3329</v>
      </c>
      <c r="E595" s="3">
        <v>20605520252</v>
      </c>
      <c r="F595" s="3" t="s">
        <v>3330</v>
      </c>
      <c r="G595" s="3" t="s">
        <v>3331</v>
      </c>
      <c r="H595" s="3" t="s">
        <v>36</v>
      </c>
      <c r="I595" s="3" t="s">
        <v>409</v>
      </c>
      <c r="J595" s="3" t="s">
        <v>738</v>
      </c>
      <c r="K595" s="3" t="s">
        <v>37</v>
      </c>
      <c r="L595" s="3" t="s">
        <v>324</v>
      </c>
      <c r="M595" s="3" t="s">
        <v>368</v>
      </c>
      <c r="N595" s="3" t="s">
        <v>2798</v>
      </c>
      <c r="O595" s="3" t="s">
        <v>1135</v>
      </c>
      <c r="P595" s="3" t="s">
        <v>248</v>
      </c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>
        <v>13200</v>
      </c>
      <c r="AB595" s="3">
        <v>3000</v>
      </c>
      <c r="AC595" s="4">
        <v>44124</v>
      </c>
      <c r="AD595" s="3" t="s">
        <v>42</v>
      </c>
      <c r="AE595" s="3" t="s">
        <v>3332</v>
      </c>
      <c r="AF595" s="3">
        <v>0</v>
      </c>
    </row>
    <row r="596" spans="1:32" ht="41.95" x14ac:dyDescent="0.3">
      <c r="A596" s="5">
        <v>590</v>
      </c>
      <c r="B596" s="5" t="str">
        <f>"201900127698"</f>
        <v>201900127698</v>
      </c>
      <c r="C596" s="5" t="str">
        <f>"34893"</f>
        <v>34893</v>
      </c>
      <c r="D596" s="5" t="s">
        <v>3333</v>
      </c>
      <c r="E596" s="5">
        <v>20439433753</v>
      </c>
      <c r="F596" s="5" t="s">
        <v>3334</v>
      </c>
      <c r="G596" s="5" t="s">
        <v>3335</v>
      </c>
      <c r="H596" s="5" t="s">
        <v>219</v>
      </c>
      <c r="I596" s="5" t="s">
        <v>220</v>
      </c>
      <c r="J596" s="5" t="s">
        <v>220</v>
      </c>
      <c r="K596" s="5" t="s">
        <v>37</v>
      </c>
      <c r="L596" s="5" t="s">
        <v>3124</v>
      </c>
      <c r="M596" s="5" t="s">
        <v>63</v>
      </c>
      <c r="N596" s="5" t="s">
        <v>63</v>
      </c>
      <c r="O596" s="5" t="s">
        <v>3336</v>
      </c>
      <c r="P596" s="5" t="s">
        <v>3337</v>
      </c>
      <c r="Q596" s="5" t="s">
        <v>2994</v>
      </c>
      <c r="R596" s="5" t="s">
        <v>94</v>
      </c>
      <c r="S596" s="5"/>
      <c r="T596" s="5"/>
      <c r="U596" s="5"/>
      <c r="V596" s="5"/>
      <c r="W596" s="5"/>
      <c r="X596" s="5"/>
      <c r="Y596" s="5"/>
      <c r="Z596" s="5"/>
      <c r="AA596" s="5">
        <v>30000</v>
      </c>
      <c r="AB596" s="5">
        <v>5000</v>
      </c>
      <c r="AC596" s="6">
        <v>43685</v>
      </c>
      <c r="AD596" s="5" t="s">
        <v>42</v>
      </c>
      <c r="AE596" s="5" t="s">
        <v>3338</v>
      </c>
      <c r="AF596" s="5">
        <v>0</v>
      </c>
    </row>
    <row r="597" spans="1:32" ht="27.95" x14ac:dyDescent="0.3">
      <c r="A597" s="3">
        <v>591</v>
      </c>
      <c r="B597" s="3" t="str">
        <f>"201500140837"</f>
        <v>201500140837</v>
      </c>
      <c r="C597" s="3" t="str">
        <f>"7058"</f>
        <v>7058</v>
      </c>
      <c r="D597" s="3" t="s">
        <v>3339</v>
      </c>
      <c r="E597" s="3">
        <v>20428254687</v>
      </c>
      <c r="F597" s="3" t="s">
        <v>3340</v>
      </c>
      <c r="G597" s="3" t="s">
        <v>3341</v>
      </c>
      <c r="H597" s="3" t="s">
        <v>58</v>
      </c>
      <c r="I597" s="3" t="s">
        <v>58</v>
      </c>
      <c r="J597" s="3" t="s">
        <v>1190</v>
      </c>
      <c r="K597" s="3" t="s">
        <v>37</v>
      </c>
      <c r="L597" s="3" t="s">
        <v>3342</v>
      </c>
      <c r="M597" s="3" t="s">
        <v>1686</v>
      </c>
      <c r="N597" s="3" t="s">
        <v>72</v>
      </c>
      <c r="O597" s="3" t="s">
        <v>380</v>
      </c>
      <c r="P597" s="3" t="s">
        <v>248</v>
      </c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>
        <v>35000</v>
      </c>
      <c r="AB597" s="3">
        <v>3000</v>
      </c>
      <c r="AC597" s="4">
        <v>42300</v>
      </c>
      <c r="AD597" s="3" t="s">
        <v>42</v>
      </c>
      <c r="AE597" s="3" t="s">
        <v>1061</v>
      </c>
      <c r="AF597" s="3">
        <v>0</v>
      </c>
    </row>
    <row r="598" spans="1:32" x14ac:dyDescent="0.3">
      <c r="A598" s="5">
        <v>592</v>
      </c>
      <c r="B598" s="5" t="str">
        <f>"201900005543"</f>
        <v>201900005543</v>
      </c>
      <c r="C598" s="5" t="str">
        <f>"94702"</f>
        <v>94702</v>
      </c>
      <c r="D598" s="5" t="s">
        <v>3343</v>
      </c>
      <c r="E598" s="5">
        <v>20487420337</v>
      </c>
      <c r="F598" s="5" t="s">
        <v>2452</v>
      </c>
      <c r="G598" s="5" t="s">
        <v>3344</v>
      </c>
      <c r="H598" s="5" t="s">
        <v>36</v>
      </c>
      <c r="I598" s="5" t="s">
        <v>409</v>
      </c>
      <c r="J598" s="5" t="s">
        <v>738</v>
      </c>
      <c r="K598" s="5" t="s">
        <v>37</v>
      </c>
      <c r="L598" s="5" t="s">
        <v>172</v>
      </c>
      <c r="M598" s="5" t="s">
        <v>174</v>
      </c>
      <c r="N598" s="5" t="s">
        <v>368</v>
      </c>
      <c r="O598" s="5" t="s">
        <v>754</v>
      </c>
      <c r="P598" s="5" t="s">
        <v>248</v>
      </c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>
        <v>12000</v>
      </c>
      <c r="AB598" s="5">
        <v>3000</v>
      </c>
      <c r="AC598" s="6">
        <v>43485</v>
      </c>
      <c r="AD598" s="5" t="s">
        <v>42</v>
      </c>
      <c r="AE598" s="5" t="s">
        <v>3345</v>
      </c>
      <c r="AF598" s="5">
        <v>0</v>
      </c>
    </row>
    <row r="599" spans="1:32" ht="27.95" x14ac:dyDescent="0.3">
      <c r="A599" s="3">
        <v>593</v>
      </c>
      <c r="B599" s="3" t="str">
        <f>"201900175845"</f>
        <v>201900175845</v>
      </c>
      <c r="C599" s="3" t="str">
        <f>"8707"</f>
        <v>8707</v>
      </c>
      <c r="D599" s="3" t="s">
        <v>3346</v>
      </c>
      <c r="E599" s="3">
        <v>20104625500</v>
      </c>
      <c r="F599" s="3" t="s">
        <v>3347</v>
      </c>
      <c r="G599" s="3" t="s">
        <v>3348</v>
      </c>
      <c r="H599" s="3" t="s">
        <v>47</v>
      </c>
      <c r="I599" s="3" t="s">
        <v>290</v>
      </c>
      <c r="J599" s="3" t="s">
        <v>290</v>
      </c>
      <c r="K599" s="3" t="s">
        <v>37</v>
      </c>
      <c r="L599" s="3" t="s">
        <v>1255</v>
      </c>
      <c r="M599" s="3" t="s">
        <v>285</v>
      </c>
      <c r="N599" s="3" t="s">
        <v>161</v>
      </c>
      <c r="O599" s="3" t="s">
        <v>72</v>
      </c>
      <c r="P599" s="3" t="s">
        <v>120</v>
      </c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>
        <v>26000</v>
      </c>
      <c r="AB599" s="3">
        <v>3500</v>
      </c>
      <c r="AC599" s="4">
        <v>43763</v>
      </c>
      <c r="AD599" s="3" t="s">
        <v>42</v>
      </c>
      <c r="AE599" s="3" t="s">
        <v>3349</v>
      </c>
      <c r="AF599" s="3">
        <v>0</v>
      </c>
    </row>
    <row r="600" spans="1:32" ht="41.95" x14ac:dyDescent="0.3">
      <c r="A600" s="5">
        <v>594</v>
      </c>
      <c r="B600" s="5" t="str">
        <f>"202000058177"</f>
        <v>202000058177</v>
      </c>
      <c r="C600" s="5" t="str">
        <f>"90175"</f>
        <v>90175</v>
      </c>
      <c r="D600" s="5" t="s">
        <v>3350</v>
      </c>
      <c r="E600" s="5">
        <v>20601305772</v>
      </c>
      <c r="F600" s="5" t="s">
        <v>3351</v>
      </c>
      <c r="G600" s="5" t="s">
        <v>3352</v>
      </c>
      <c r="H600" s="5" t="s">
        <v>150</v>
      </c>
      <c r="I600" s="5" t="s">
        <v>386</v>
      </c>
      <c r="J600" s="5" t="s">
        <v>386</v>
      </c>
      <c r="K600" s="5" t="s">
        <v>37</v>
      </c>
      <c r="L600" s="5" t="s">
        <v>172</v>
      </c>
      <c r="M600" s="5" t="s">
        <v>1933</v>
      </c>
      <c r="N600" s="5" t="s">
        <v>153</v>
      </c>
      <c r="O600" s="5" t="s">
        <v>3353</v>
      </c>
      <c r="P600" s="5" t="s">
        <v>3354</v>
      </c>
      <c r="Q600" s="5" t="s">
        <v>3355</v>
      </c>
      <c r="R600" s="5" t="s">
        <v>94</v>
      </c>
      <c r="S600" s="5"/>
      <c r="T600" s="5"/>
      <c r="U600" s="5"/>
      <c r="V600" s="5"/>
      <c r="W600" s="5"/>
      <c r="X600" s="5"/>
      <c r="Y600" s="5"/>
      <c r="Z600" s="5"/>
      <c r="AA600" s="5">
        <v>39218</v>
      </c>
      <c r="AB600" s="5">
        <v>5000</v>
      </c>
      <c r="AC600" s="6">
        <v>43971</v>
      </c>
      <c r="AD600" s="5" t="s">
        <v>42</v>
      </c>
      <c r="AE600" s="5" t="s">
        <v>3356</v>
      </c>
      <c r="AF600" s="5">
        <v>720</v>
      </c>
    </row>
    <row r="601" spans="1:32" ht="41.95" x14ac:dyDescent="0.3">
      <c r="A601" s="3">
        <v>595</v>
      </c>
      <c r="B601" s="3" t="str">
        <f>"201900165887"</f>
        <v>201900165887</v>
      </c>
      <c r="C601" s="3" t="str">
        <f>"146933"</f>
        <v>146933</v>
      </c>
      <c r="D601" s="3" t="s">
        <v>3357</v>
      </c>
      <c r="E601" s="3">
        <v>20495896898</v>
      </c>
      <c r="F601" s="3" t="s">
        <v>3358</v>
      </c>
      <c r="G601" s="3" t="s">
        <v>3359</v>
      </c>
      <c r="H601" s="3" t="s">
        <v>134</v>
      </c>
      <c r="I601" s="3" t="s">
        <v>134</v>
      </c>
      <c r="J601" s="3" t="s">
        <v>134</v>
      </c>
      <c r="K601" s="3" t="s">
        <v>37</v>
      </c>
      <c r="L601" s="3" t="s">
        <v>166</v>
      </c>
      <c r="M601" s="3" t="s">
        <v>724</v>
      </c>
      <c r="N601" s="3" t="s">
        <v>94</v>
      </c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>
        <v>20000</v>
      </c>
      <c r="AB601" s="3">
        <v>5000</v>
      </c>
      <c r="AC601" s="4">
        <v>43748</v>
      </c>
      <c r="AD601" s="3" t="s">
        <v>42</v>
      </c>
      <c r="AE601" s="3" t="s">
        <v>3360</v>
      </c>
      <c r="AF601" s="3">
        <v>0</v>
      </c>
    </row>
    <row r="602" spans="1:32" ht="27.95" x14ac:dyDescent="0.3">
      <c r="A602" s="5">
        <v>596</v>
      </c>
      <c r="B602" s="5" t="str">
        <f>"201500077879"</f>
        <v>201500077879</v>
      </c>
      <c r="C602" s="5" t="str">
        <f>"43777"</f>
        <v>43777</v>
      </c>
      <c r="D602" s="5" t="s">
        <v>3361</v>
      </c>
      <c r="E602" s="5">
        <v>20469727085</v>
      </c>
      <c r="F602" s="5" t="s">
        <v>3362</v>
      </c>
      <c r="G602" s="5" t="s">
        <v>3363</v>
      </c>
      <c r="H602" s="5" t="s">
        <v>58</v>
      </c>
      <c r="I602" s="5" t="s">
        <v>58</v>
      </c>
      <c r="J602" s="5" t="s">
        <v>2483</v>
      </c>
      <c r="K602" s="5" t="s">
        <v>37</v>
      </c>
      <c r="L602" s="5" t="s">
        <v>3364</v>
      </c>
      <c r="M602" s="5" t="s">
        <v>3365</v>
      </c>
      <c r="N602" s="5" t="s">
        <v>103</v>
      </c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>
        <v>18500</v>
      </c>
      <c r="AB602" s="5">
        <v>2500</v>
      </c>
      <c r="AC602" s="6">
        <v>42174</v>
      </c>
      <c r="AD602" s="5" t="s">
        <v>42</v>
      </c>
      <c r="AE602" s="5" t="s">
        <v>2907</v>
      </c>
      <c r="AF602" s="5">
        <v>120</v>
      </c>
    </row>
    <row r="603" spans="1:32" x14ac:dyDescent="0.3">
      <c r="A603" s="3">
        <v>597</v>
      </c>
      <c r="B603" s="3" t="str">
        <f>"201300083332"</f>
        <v>201300083332</v>
      </c>
      <c r="C603" s="3" t="str">
        <f>"7533"</f>
        <v>7533</v>
      </c>
      <c r="D603" s="3" t="s">
        <v>3366</v>
      </c>
      <c r="E603" s="3">
        <v>10295091571</v>
      </c>
      <c r="F603" s="3" t="s">
        <v>3367</v>
      </c>
      <c r="G603" s="3" t="s">
        <v>3368</v>
      </c>
      <c r="H603" s="3" t="s">
        <v>89</v>
      </c>
      <c r="I603" s="3" t="s">
        <v>89</v>
      </c>
      <c r="J603" s="3" t="s">
        <v>3369</v>
      </c>
      <c r="K603" s="3" t="s">
        <v>37</v>
      </c>
      <c r="L603" s="3" t="s">
        <v>1642</v>
      </c>
      <c r="M603" s="3" t="s">
        <v>2767</v>
      </c>
      <c r="N603" s="3" t="s">
        <v>313</v>
      </c>
      <c r="O603" s="3" t="s">
        <v>2347</v>
      </c>
      <c r="P603" s="3" t="s">
        <v>248</v>
      </c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>
        <v>27300</v>
      </c>
      <c r="AB603" s="3">
        <v>3000</v>
      </c>
      <c r="AC603" s="4">
        <v>41401</v>
      </c>
      <c r="AD603" s="3" t="s">
        <v>42</v>
      </c>
      <c r="AE603" s="3" t="s">
        <v>3367</v>
      </c>
      <c r="AF603" s="3">
        <v>0</v>
      </c>
    </row>
    <row r="604" spans="1:32" ht="27.95" x14ac:dyDescent="0.3">
      <c r="A604" s="5">
        <v>598</v>
      </c>
      <c r="B604" s="5" t="str">
        <f>"201900084067"</f>
        <v>201900084067</v>
      </c>
      <c r="C604" s="5" t="str">
        <f>"110760"</f>
        <v>110760</v>
      </c>
      <c r="D604" s="5" t="s">
        <v>3370</v>
      </c>
      <c r="E604" s="5">
        <v>20568827822</v>
      </c>
      <c r="F604" s="5" t="s">
        <v>3371</v>
      </c>
      <c r="G604" s="5" t="s">
        <v>3372</v>
      </c>
      <c r="H604" s="5" t="s">
        <v>108</v>
      </c>
      <c r="I604" s="5" t="s">
        <v>852</v>
      </c>
      <c r="J604" s="5" t="s">
        <v>852</v>
      </c>
      <c r="K604" s="5" t="s">
        <v>37</v>
      </c>
      <c r="L604" s="5" t="s">
        <v>63</v>
      </c>
      <c r="M604" s="5" t="s">
        <v>2474</v>
      </c>
      <c r="N604" s="5" t="s">
        <v>161</v>
      </c>
      <c r="O604" s="5" t="s">
        <v>94</v>
      </c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>
        <v>18000</v>
      </c>
      <c r="AB604" s="5">
        <v>5000</v>
      </c>
      <c r="AC604" s="6">
        <v>43613</v>
      </c>
      <c r="AD604" s="5" t="s">
        <v>42</v>
      </c>
      <c r="AE604" s="5" t="s">
        <v>3373</v>
      </c>
      <c r="AF604" s="5">
        <v>0</v>
      </c>
    </row>
    <row r="605" spans="1:32" ht="27.95" x14ac:dyDescent="0.3">
      <c r="A605" s="3">
        <v>599</v>
      </c>
      <c r="B605" s="3" t="str">
        <f>"202000056430"</f>
        <v>202000056430</v>
      </c>
      <c r="C605" s="3" t="str">
        <f>"89074"</f>
        <v>89074</v>
      </c>
      <c r="D605" s="3" t="s">
        <v>3374</v>
      </c>
      <c r="E605" s="3">
        <v>20526288735</v>
      </c>
      <c r="F605" s="3" t="s">
        <v>3375</v>
      </c>
      <c r="G605" s="3" t="s">
        <v>3376</v>
      </c>
      <c r="H605" s="3" t="s">
        <v>187</v>
      </c>
      <c r="I605" s="3" t="s">
        <v>260</v>
      </c>
      <c r="J605" s="3" t="s">
        <v>3377</v>
      </c>
      <c r="K605" s="3" t="s">
        <v>37</v>
      </c>
      <c r="L605" s="3" t="s">
        <v>3378</v>
      </c>
      <c r="M605" s="3" t="s">
        <v>3379</v>
      </c>
      <c r="N605" s="3" t="s">
        <v>381</v>
      </c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>
        <v>9200</v>
      </c>
      <c r="AB605" s="3">
        <v>2000</v>
      </c>
      <c r="AC605" s="4">
        <v>43965</v>
      </c>
      <c r="AD605" s="3" t="s">
        <v>42</v>
      </c>
      <c r="AE605" s="3" t="s">
        <v>3380</v>
      </c>
      <c r="AF605" s="3">
        <v>0</v>
      </c>
    </row>
    <row r="606" spans="1:32" ht="41.95" x14ac:dyDescent="0.3">
      <c r="A606" s="5">
        <v>600</v>
      </c>
      <c r="B606" s="5" t="str">
        <f>"201900204288"</f>
        <v>201900204288</v>
      </c>
      <c r="C606" s="5" t="str">
        <f>"101335"</f>
        <v>101335</v>
      </c>
      <c r="D606" s="5" t="s">
        <v>3381</v>
      </c>
      <c r="E606" s="5">
        <v>20127765279</v>
      </c>
      <c r="F606" s="5" t="s">
        <v>1115</v>
      </c>
      <c r="G606" s="5" t="s">
        <v>3382</v>
      </c>
      <c r="H606" s="5" t="s">
        <v>219</v>
      </c>
      <c r="I606" s="5" t="s">
        <v>220</v>
      </c>
      <c r="J606" s="5" t="s">
        <v>302</v>
      </c>
      <c r="K606" s="5" t="s">
        <v>37</v>
      </c>
      <c r="L606" s="5" t="s">
        <v>950</v>
      </c>
      <c r="M606" s="5" t="s">
        <v>847</v>
      </c>
      <c r="N606" s="5" t="s">
        <v>990</v>
      </c>
      <c r="O606" s="5" t="s">
        <v>103</v>
      </c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>
        <v>22000</v>
      </c>
      <c r="AB606" s="5">
        <v>2500</v>
      </c>
      <c r="AC606" s="6">
        <v>43811</v>
      </c>
      <c r="AD606" s="5" t="s">
        <v>42</v>
      </c>
      <c r="AE606" s="5" t="s">
        <v>279</v>
      </c>
      <c r="AF606" s="5">
        <v>0</v>
      </c>
    </row>
    <row r="607" spans="1:32" ht="41.95" x14ac:dyDescent="0.3">
      <c r="A607" s="3">
        <v>601</v>
      </c>
      <c r="B607" s="3" t="str">
        <f>"202000116060"</f>
        <v>202000116060</v>
      </c>
      <c r="C607" s="3" t="str">
        <f>"31917"</f>
        <v>31917</v>
      </c>
      <c r="D607" s="3" t="s">
        <v>3383</v>
      </c>
      <c r="E607" s="3">
        <v>20571379245</v>
      </c>
      <c r="F607" s="3" t="s">
        <v>3384</v>
      </c>
      <c r="G607" s="3" t="s">
        <v>3385</v>
      </c>
      <c r="H607" s="3" t="s">
        <v>58</v>
      </c>
      <c r="I607" s="3" t="s">
        <v>498</v>
      </c>
      <c r="J607" s="3" t="s">
        <v>988</v>
      </c>
      <c r="K607" s="3" t="s">
        <v>37</v>
      </c>
      <c r="L607" s="3" t="s">
        <v>72</v>
      </c>
      <c r="M607" s="3" t="s">
        <v>3386</v>
      </c>
      <c r="N607" s="3" t="s">
        <v>247</v>
      </c>
      <c r="O607" s="3" t="s">
        <v>1044</v>
      </c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>
        <v>18000</v>
      </c>
      <c r="AB607" s="3">
        <v>1500</v>
      </c>
      <c r="AC607" s="4">
        <v>44096</v>
      </c>
      <c r="AD607" s="3" t="s">
        <v>42</v>
      </c>
      <c r="AE607" s="3" t="s">
        <v>3387</v>
      </c>
      <c r="AF607" s="3">
        <v>480</v>
      </c>
    </row>
    <row r="608" spans="1:32" ht="27.95" x14ac:dyDescent="0.3">
      <c r="A608" s="5">
        <v>602</v>
      </c>
      <c r="B608" s="5" t="str">
        <f>"201800195343"</f>
        <v>201800195343</v>
      </c>
      <c r="C608" s="5" t="str">
        <f>"111585"</f>
        <v>111585</v>
      </c>
      <c r="D608" s="5" t="s">
        <v>3388</v>
      </c>
      <c r="E608" s="5">
        <v>20568624123</v>
      </c>
      <c r="F608" s="5" t="s">
        <v>3389</v>
      </c>
      <c r="G608" s="5" t="s">
        <v>3390</v>
      </c>
      <c r="H608" s="5" t="s">
        <v>108</v>
      </c>
      <c r="I608" s="5" t="s">
        <v>144</v>
      </c>
      <c r="J608" s="5" t="s">
        <v>779</v>
      </c>
      <c r="K608" s="5" t="s">
        <v>37</v>
      </c>
      <c r="L608" s="5" t="s">
        <v>3391</v>
      </c>
      <c r="M608" s="5" t="s">
        <v>3392</v>
      </c>
      <c r="N608" s="5" t="s">
        <v>94</v>
      </c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>
        <v>15860</v>
      </c>
      <c r="AB608" s="5">
        <v>5000</v>
      </c>
      <c r="AC608" s="6">
        <v>43431</v>
      </c>
      <c r="AD608" s="5" t="s">
        <v>42</v>
      </c>
      <c r="AE608" s="5" t="s">
        <v>3393</v>
      </c>
      <c r="AF608" s="5">
        <v>0</v>
      </c>
    </row>
    <row r="609" spans="1:32" ht="27.95" x14ac:dyDescent="0.3">
      <c r="A609" s="3">
        <v>603</v>
      </c>
      <c r="B609" s="3" t="str">
        <f>"201900124083"</f>
        <v>201900124083</v>
      </c>
      <c r="C609" s="3" t="str">
        <f>"45286"</f>
        <v>45286</v>
      </c>
      <c r="D609" s="3" t="s">
        <v>3394</v>
      </c>
      <c r="E609" s="3">
        <v>20486100215</v>
      </c>
      <c r="F609" s="3" t="s">
        <v>3395</v>
      </c>
      <c r="G609" s="3" t="s">
        <v>3396</v>
      </c>
      <c r="H609" s="3" t="s">
        <v>108</v>
      </c>
      <c r="I609" s="3" t="s">
        <v>475</v>
      </c>
      <c r="J609" s="3" t="s">
        <v>3397</v>
      </c>
      <c r="K609" s="3" t="s">
        <v>37</v>
      </c>
      <c r="L609" s="3" t="s">
        <v>102</v>
      </c>
      <c r="M609" s="3" t="s">
        <v>1007</v>
      </c>
      <c r="N609" s="3" t="s">
        <v>1153</v>
      </c>
      <c r="O609" s="3" t="s">
        <v>979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>
        <v>10000</v>
      </c>
      <c r="AB609" s="3">
        <v>7000</v>
      </c>
      <c r="AC609" s="4">
        <v>43678</v>
      </c>
      <c r="AD609" s="3" t="s">
        <v>42</v>
      </c>
      <c r="AE609" s="3" t="s">
        <v>3398</v>
      </c>
      <c r="AF609" s="3">
        <v>0</v>
      </c>
    </row>
    <row r="610" spans="1:32" ht="27.95" x14ac:dyDescent="0.3">
      <c r="A610" s="5">
        <v>604</v>
      </c>
      <c r="B610" s="5" t="str">
        <f>"1399335"</f>
        <v>1399335</v>
      </c>
      <c r="C610" s="5" t="str">
        <f>"16713"</f>
        <v>16713</v>
      </c>
      <c r="D610" s="5" t="s">
        <v>3399</v>
      </c>
      <c r="E610" s="5">
        <v>20508970791</v>
      </c>
      <c r="F610" s="5" t="s">
        <v>3400</v>
      </c>
      <c r="G610" s="5" t="s">
        <v>3401</v>
      </c>
      <c r="H610" s="5" t="s">
        <v>58</v>
      </c>
      <c r="I610" s="5" t="s">
        <v>58</v>
      </c>
      <c r="J610" s="5" t="s">
        <v>1091</v>
      </c>
      <c r="K610" s="5" t="s">
        <v>37</v>
      </c>
      <c r="L610" s="5" t="s">
        <v>3402</v>
      </c>
      <c r="M610" s="5" t="s">
        <v>3403</v>
      </c>
      <c r="N610" s="5" t="s">
        <v>3404</v>
      </c>
      <c r="O610" s="5" t="s">
        <v>78</v>
      </c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>
        <v>6390</v>
      </c>
      <c r="AB610" s="5">
        <v>3200</v>
      </c>
      <c r="AC610" s="6">
        <v>40423</v>
      </c>
      <c r="AD610" s="5" t="s">
        <v>42</v>
      </c>
      <c r="AE610" s="5" t="s">
        <v>3405</v>
      </c>
      <c r="AF610" s="5">
        <v>0</v>
      </c>
    </row>
    <row r="611" spans="1:32" ht="27.95" x14ac:dyDescent="0.3">
      <c r="A611" s="3">
        <v>605</v>
      </c>
      <c r="B611" s="3" t="str">
        <f>"201800119178"</f>
        <v>201800119178</v>
      </c>
      <c r="C611" s="3" t="str">
        <f>"6874"</f>
        <v>6874</v>
      </c>
      <c r="D611" s="3" t="s">
        <v>3406</v>
      </c>
      <c r="E611" s="3">
        <v>20503840121</v>
      </c>
      <c r="F611" s="3" t="s">
        <v>442</v>
      </c>
      <c r="G611" s="3" t="s">
        <v>3407</v>
      </c>
      <c r="H611" s="3" t="s">
        <v>58</v>
      </c>
      <c r="I611" s="3" t="s">
        <v>58</v>
      </c>
      <c r="J611" s="3" t="s">
        <v>626</v>
      </c>
      <c r="K611" s="3" t="s">
        <v>37</v>
      </c>
      <c r="L611" s="3" t="s">
        <v>3408</v>
      </c>
      <c r="M611" s="3" t="s">
        <v>3409</v>
      </c>
      <c r="N611" s="3" t="s">
        <v>3410</v>
      </c>
      <c r="O611" s="3" t="s">
        <v>3411</v>
      </c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>
        <v>34500</v>
      </c>
      <c r="AB611" s="3">
        <v>4200</v>
      </c>
      <c r="AC611" s="4">
        <v>43305</v>
      </c>
      <c r="AD611" s="3" t="s">
        <v>42</v>
      </c>
      <c r="AE611" s="3" t="s">
        <v>399</v>
      </c>
      <c r="AF611" s="3">
        <v>0</v>
      </c>
    </row>
    <row r="612" spans="1:32" ht="27.95" x14ac:dyDescent="0.3">
      <c r="A612" s="5">
        <v>606</v>
      </c>
      <c r="B612" s="5" t="str">
        <f>"202000091068"</f>
        <v>202000091068</v>
      </c>
      <c r="C612" s="5" t="str">
        <f>"149481"</f>
        <v>149481</v>
      </c>
      <c r="D612" s="5" t="s">
        <v>3412</v>
      </c>
      <c r="E612" s="5">
        <v>20606081406</v>
      </c>
      <c r="F612" s="5" t="s">
        <v>3413</v>
      </c>
      <c r="G612" s="5" t="s">
        <v>3414</v>
      </c>
      <c r="H612" s="5" t="s">
        <v>108</v>
      </c>
      <c r="I612" s="5" t="s">
        <v>598</v>
      </c>
      <c r="J612" s="5" t="s">
        <v>1750</v>
      </c>
      <c r="K612" s="5" t="s">
        <v>37</v>
      </c>
      <c r="L612" s="5" t="s">
        <v>72</v>
      </c>
      <c r="M612" s="5" t="s">
        <v>3415</v>
      </c>
      <c r="N612" s="5" t="s">
        <v>94</v>
      </c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>
        <v>17900</v>
      </c>
      <c r="AB612" s="5">
        <v>5000</v>
      </c>
      <c r="AC612" s="6">
        <v>44041</v>
      </c>
      <c r="AD612" s="6">
        <v>44406</v>
      </c>
      <c r="AE612" s="5" t="s">
        <v>3416</v>
      </c>
      <c r="AF612" s="5">
        <v>0</v>
      </c>
    </row>
    <row r="613" spans="1:32" x14ac:dyDescent="0.3">
      <c r="A613" s="3">
        <v>607</v>
      </c>
      <c r="B613" s="3" t="str">
        <f>"201300128313"</f>
        <v>201300128313</v>
      </c>
      <c r="C613" s="3" t="str">
        <f>"6759"</f>
        <v>6759</v>
      </c>
      <c r="D613" s="3" t="s">
        <v>3417</v>
      </c>
      <c r="E613" s="3">
        <v>20453498299</v>
      </c>
      <c r="F613" s="3" t="s">
        <v>3418</v>
      </c>
      <c r="G613" s="3" t="s">
        <v>3419</v>
      </c>
      <c r="H613" s="3" t="s">
        <v>58</v>
      </c>
      <c r="I613" s="3" t="s">
        <v>58</v>
      </c>
      <c r="J613" s="3" t="s">
        <v>1267</v>
      </c>
      <c r="K613" s="3" t="s">
        <v>37</v>
      </c>
      <c r="L613" s="3" t="s">
        <v>49</v>
      </c>
      <c r="M613" s="3" t="s">
        <v>74</v>
      </c>
      <c r="N613" s="3" t="s">
        <v>555</v>
      </c>
      <c r="O613" s="3" t="s">
        <v>102</v>
      </c>
      <c r="P613" s="3" t="s">
        <v>103</v>
      </c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>
        <v>16000</v>
      </c>
      <c r="AB613" s="3">
        <v>2500</v>
      </c>
      <c r="AC613" s="4">
        <v>41496</v>
      </c>
      <c r="AD613" s="3" t="s">
        <v>42</v>
      </c>
      <c r="AE613" s="3" t="s">
        <v>3420</v>
      </c>
      <c r="AF613" s="3">
        <v>0</v>
      </c>
    </row>
    <row r="614" spans="1:32" ht="27.95" x14ac:dyDescent="0.3">
      <c r="A614" s="5">
        <v>608</v>
      </c>
      <c r="B614" s="5" t="str">
        <f>"201500116423"</f>
        <v>201500116423</v>
      </c>
      <c r="C614" s="5" t="str">
        <f>"114600"</f>
        <v>114600</v>
      </c>
      <c r="D614" s="5" t="s">
        <v>3421</v>
      </c>
      <c r="E614" s="5">
        <v>20487832287</v>
      </c>
      <c r="F614" s="5" t="s">
        <v>3422</v>
      </c>
      <c r="G614" s="5" t="s">
        <v>3423</v>
      </c>
      <c r="H614" s="5" t="s">
        <v>36</v>
      </c>
      <c r="I614" s="5" t="s">
        <v>409</v>
      </c>
      <c r="J614" s="5" t="s">
        <v>738</v>
      </c>
      <c r="K614" s="5" t="s">
        <v>37</v>
      </c>
      <c r="L614" s="5" t="s">
        <v>3424</v>
      </c>
      <c r="M614" s="5" t="s">
        <v>78</v>
      </c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>
        <v>22600</v>
      </c>
      <c r="AB614" s="5">
        <v>3200</v>
      </c>
      <c r="AC614" s="6">
        <v>42356</v>
      </c>
      <c r="AD614" s="5" t="s">
        <v>42</v>
      </c>
      <c r="AE614" s="5" t="s">
        <v>1617</v>
      </c>
      <c r="AF614" s="5">
        <v>720</v>
      </c>
    </row>
    <row r="615" spans="1:32" x14ac:dyDescent="0.3">
      <c r="A615" s="3">
        <v>609</v>
      </c>
      <c r="B615" s="3" t="str">
        <f>"201800008999"</f>
        <v>201800008999</v>
      </c>
      <c r="C615" s="3" t="str">
        <f>"45168"</f>
        <v>45168</v>
      </c>
      <c r="D615" s="3" t="s">
        <v>3425</v>
      </c>
      <c r="E615" s="3">
        <v>20536205749</v>
      </c>
      <c r="F615" s="3" t="s">
        <v>3426</v>
      </c>
      <c r="G615" s="3" t="s">
        <v>3427</v>
      </c>
      <c r="H615" s="3" t="s">
        <v>108</v>
      </c>
      <c r="I615" s="3" t="s">
        <v>1655</v>
      </c>
      <c r="J615" s="3" t="s">
        <v>1789</v>
      </c>
      <c r="K615" s="3" t="s">
        <v>37</v>
      </c>
      <c r="L615" s="3" t="s">
        <v>128</v>
      </c>
      <c r="M615" s="3" t="s">
        <v>3428</v>
      </c>
      <c r="N615" s="3" t="s">
        <v>311</v>
      </c>
      <c r="O615" s="3" t="s">
        <v>311</v>
      </c>
      <c r="P615" s="3" t="s">
        <v>3429</v>
      </c>
      <c r="Q615" s="3" t="s">
        <v>94</v>
      </c>
      <c r="R615" s="3"/>
      <c r="S615" s="3"/>
      <c r="T615" s="3"/>
      <c r="U615" s="3"/>
      <c r="V615" s="3"/>
      <c r="W615" s="3"/>
      <c r="X615" s="3"/>
      <c r="Y615" s="3"/>
      <c r="Z615" s="3"/>
      <c r="AA615" s="3">
        <v>28100</v>
      </c>
      <c r="AB615" s="3">
        <v>5000</v>
      </c>
      <c r="AC615" s="4">
        <v>43121</v>
      </c>
      <c r="AD615" s="3" t="s">
        <v>42</v>
      </c>
      <c r="AE615" s="3" t="s">
        <v>3430</v>
      </c>
      <c r="AF615" s="3">
        <v>0</v>
      </c>
    </row>
    <row r="616" spans="1:32" x14ac:dyDescent="0.3">
      <c r="A616" s="5">
        <v>610</v>
      </c>
      <c r="B616" s="5" t="str">
        <f>"201700097306"</f>
        <v>201700097306</v>
      </c>
      <c r="C616" s="5" t="str">
        <f>"124935"</f>
        <v>124935</v>
      </c>
      <c r="D616" s="5" t="s">
        <v>3431</v>
      </c>
      <c r="E616" s="5">
        <v>20275873480</v>
      </c>
      <c r="F616" s="5" t="s">
        <v>695</v>
      </c>
      <c r="G616" s="5" t="s">
        <v>3432</v>
      </c>
      <c r="H616" s="5" t="s">
        <v>219</v>
      </c>
      <c r="I616" s="5" t="s">
        <v>220</v>
      </c>
      <c r="J616" s="5" t="s">
        <v>220</v>
      </c>
      <c r="K616" s="5" t="s">
        <v>37</v>
      </c>
      <c r="L616" s="5" t="s">
        <v>411</v>
      </c>
      <c r="M616" s="5" t="s">
        <v>477</v>
      </c>
      <c r="N616" s="5" t="s">
        <v>477</v>
      </c>
      <c r="O616" s="5" t="s">
        <v>238</v>
      </c>
      <c r="P616" s="5" t="s">
        <v>76</v>
      </c>
      <c r="Q616" s="5" t="s">
        <v>1008</v>
      </c>
      <c r="R616" s="5" t="s">
        <v>94</v>
      </c>
      <c r="S616" s="5"/>
      <c r="T616" s="5"/>
      <c r="U616" s="5"/>
      <c r="V616" s="5"/>
      <c r="W616" s="5"/>
      <c r="X616" s="5"/>
      <c r="Y616" s="5"/>
      <c r="Z616" s="5"/>
      <c r="AA616" s="5">
        <v>20500</v>
      </c>
      <c r="AB616" s="5">
        <v>5000</v>
      </c>
      <c r="AC616" s="6">
        <v>42928</v>
      </c>
      <c r="AD616" s="5" t="s">
        <v>42</v>
      </c>
      <c r="AE616" s="5" t="s">
        <v>699</v>
      </c>
      <c r="AF616" s="5">
        <v>0</v>
      </c>
    </row>
    <row r="617" spans="1:32" ht="27.95" x14ac:dyDescent="0.3">
      <c r="A617" s="3">
        <v>611</v>
      </c>
      <c r="B617" s="3" t="str">
        <f>"202000061197"</f>
        <v>202000061197</v>
      </c>
      <c r="C617" s="3" t="str">
        <f>"8677"</f>
        <v>8677</v>
      </c>
      <c r="D617" s="3" t="s">
        <v>3433</v>
      </c>
      <c r="E617" s="3">
        <v>20536053621</v>
      </c>
      <c r="F617" s="3" t="s">
        <v>1146</v>
      </c>
      <c r="G617" s="3" t="s">
        <v>3434</v>
      </c>
      <c r="H617" s="3" t="s">
        <v>36</v>
      </c>
      <c r="I617" s="3" t="s">
        <v>36</v>
      </c>
      <c r="J617" s="3" t="s">
        <v>36</v>
      </c>
      <c r="K617" s="3" t="s">
        <v>37</v>
      </c>
      <c r="L617" s="3" t="s">
        <v>3435</v>
      </c>
      <c r="M617" s="3" t="s">
        <v>3436</v>
      </c>
      <c r="N617" s="3" t="s">
        <v>3437</v>
      </c>
      <c r="O617" s="3" t="s">
        <v>94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>
        <v>16050</v>
      </c>
      <c r="AB617" s="3">
        <v>5000</v>
      </c>
      <c r="AC617" s="4">
        <v>43992</v>
      </c>
      <c r="AD617" s="3" t="s">
        <v>42</v>
      </c>
      <c r="AE617" s="3" t="s">
        <v>3438</v>
      </c>
      <c r="AF617" s="3">
        <v>300</v>
      </c>
    </row>
    <row r="618" spans="1:32" ht="41.95" x14ac:dyDescent="0.3">
      <c r="A618" s="5">
        <v>612</v>
      </c>
      <c r="B618" s="5" t="str">
        <f>"201700135096"</f>
        <v>201700135096</v>
      </c>
      <c r="C618" s="5" t="str">
        <f>"7840"</f>
        <v>7840</v>
      </c>
      <c r="D618" s="5" t="s">
        <v>3439</v>
      </c>
      <c r="E618" s="5">
        <v>20282738946</v>
      </c>
      <c r="F618" s="5" t="s">
        <v>3440</v>
      </c>
      <c r="G618" s="5" t="s">
        <v>3441</v>
      </c>
      <c r="H618" s="5" t="s">
        <v>116</v>
      </c>
      <c r="I618" s="5" t="s">
        <v>339</v>
      </c>
      <c r="J618" s="5" t="s">
        <v>340</v>
      </c>
      <c r="K618" s="5" t="s">
        <v>37</v>
      </c>
      <c r="L618" s="5" t="s">
        <v>161</v>
      </c>
      <c r="M618" s="5" t="s">
        <v>63</v>
      </c>
      <c r="N618" s="5" t="s">
        <v>263</v>
      </c>
      <c r="O618" s="5" t="s">
        <v>63</v>
      </c>
      <c r="P618" s="5" t="s">
        <v>262</v>
      </c>
      <c r="Q618" s="5" t="s">
        <v>63</v>
      </c>
      <c r="R618" s="5" t="s">
        <v>3442</v>
      </c>
      <c r="S618" s="5"/>
      <c r="T618" s="5"/>
      <c r="U618" s="5"/>
      <c r="V618" s="5"/>
      <c r="W618" s="5"/>
      <c r="X618" s="5"/>
      <c r="Y618" s="5"/>
      <c r="Z618" s="5"/>
      <c r="AA618" s="5">
        <v>36000</v>
      </c>
      <c r="AB618" s="5">
        <v>3500</v>
      </c>
      <c r="AC618" s="6">
        <v>42973</v>
      </c>
      <c r="AD618" s="5" t="s">
        <v>42</v>
      </c>
      <c r="AE618" s="5" t="s">
        <v>3443</v>
      </c>
      <c r="AF618" s="5">
        <v>720</v>
      </c>
    </row>
    <row r="619" spans="1:32" ht="27.95" x14ac:dyDescent="0.3">
      <c r="A619" s="3">
        <v>613</v>
      </c>
      <c r="B619" s="3" t="str">
        <f>"201900203543"</f>
        <v>201900203543</v>
      </c>
      <c r="C619" s="3" t="str">
        <f>"33379"</f>
        <v>33379</v>
      </c>
      <c r="D619" s="3" t="s">
        <v>3444</v>
      </c>
      <c r="E619" s="3">
        <v>20485933647</v>
      </c>
      <c r="F619" s="3" t="s">
        <v>3445</v>
      </c>
      <c r="G619" s="3" t="s">
        <v>3446</v>
      </c>
      <c r="H619" s="3" t="s">
        <v>108</v>
      </c>
      <c r="I619" s="3" t="s">
        <v>144</v>
      </c>
      <c r="J619" s="3" t="s">
        <v>2842</v>
      </c>
      <c r="K619" s="3" t="s">
        <v>37</v>
      </c>
      <c r="L619" s="3" t="s">
        <v>683</v>
      </c>
      <c r="M619" s="3" t="s">
        <v>2277</v>
      </c>
      <c r="N619" s="3" t="s">
        <v>110</v>
      </c>
      <c r="O619" s="3" t="s">
        <v>94</v>
      </c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>
        <v>17000</v>
      </c>
      <c r="AB619" s="3">
        <v>5000</v>
      </c>
      <c r="AC619" s="4">
        <v>43807</v>
      </c>
      <c r="AD619" s="3" t="s">
        <v>42</v>
      </c>
      <c r="AE619" s="3" t="s">
        <v>3447</v>
      </c>
      <c r="AF619" s="3">
        <v>0</v>
      </c>
    </row>
    <row r="620" spans="1:32" ht="27.95" x14ac:dyDescent="0.3">
      <c r="A620" s="5">
        <v>614</v>
      </c>
      <c r="B620" s="5" t="str">
        <f>"201600126749"</f>
        <v>201600126749</v>
      </c>
      <c r="C620" s="5" t="str">
        <f>"89505"</f>
        <v>89505</v>
      </c>
      <c r="D620" s="5" t="s">
        <v>3448</v>
      </c>
      <c r="E620" s="5">
        <v>20445358747</v>
      </c>
      <c r="F620" s="5" t="s">
        <v>3449</v>
      </c>
      <c r="G620" s="5" t="s">
        <v>3450</v>
      </c>
      <c r="H620" s="5" t="s">
        <v>116</v>
      </c>
      <c r="I620" s="5" t="s">
        <v>339</v>
      </c>
      <c r="J620" s="5" t="s">
        <v>340</v>
      </c>
      <c r="K620" s="5" t="s">
        <v>37</v>
      </c>
      <c r="L620" s="5" t="s">
        <v>173</v>
      </c>
      <c r="M620" s="5" t="s">
        <v>1169</v>
      </c>
      <c r="N620" s="5" t="s">
        <v>84</v>
      </c>
      <c r="O620" s="5" t="s">
        <v>94</v>
      </c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>
        <v>14000</v>
      </c>
      <c r="AB620" s="5">
        <v>5000</v>
      </c>
      <c r="AC620" s="6">
        <v>42626</v>
      </c>
      <c r="AD620" s="5" t="s">
        <v>42</v>
      </c>
      <c r="AE620" s="5" t="s">
        <v>3451</v>
      </c>
      <c r="AF620" s="5">
        <v>720</v>
      </c>
    </row>
    <row r="621" spans="1:32" x14ac:dyDescent="0.3">
      <c r="A621" s="3">
        <v>615</v>
      </c>
      <c r="B621" s="3" t="str">
        <f>"201900193259"</f>
        <v>201900193259</v>
      </c>
      <c r="C621" s="3" t="str">
        <f>"7181"</f>
        <v>7181</v>
      </c>
      <c r="D621" s="3" t="s">
        <v>3452</v>
      </c>
      <c r="E621" s="3">
        <v>20100111838</v>
      </c>
      <c r="F621" s="3" t="s">
        <v>2779</v>
      </c>
      <c r="G621" s="3" t="s">
        <v>3453</v>
      </c>
      <c r="H621" s="3" t="s">
        <v>58</v>
      </c>
      <c r="I621" s="3" t="s">
        <v>58</v>
      </c>
      <c r="J621" s="3" t="s">
        <v>59</v>
      </c>
      <c r="K621" s="3" t="s">
        <v>37</v>
      </c>
      <c r="L621" s="3" t="s">
        <v>60</v>
      </c>
      <c r="M621" s="3" t="s">
        <v>53</v>
      </c>
      <c r="N621" s="3" t="s">
        <v>161</v>
      </c>
      <c r="O621" s="3" t="s">
        <v>72</v>
      </c>
      <c r="P621" s="3" t="s">
        <v>1278</v>
      </c>
      <c r="Q621" s="3" t="s">
        <v>775</v>
      </c>
      <c r="R621" s="3" t="s">
        <v>78</v>
      </c>
      <c r="S621" s="3"/>
      <c r="T621" s="3"/>
      <c r="U621" s="3"/>
      <c r="V621" s="3"/>
      <c r="W621" s="3"/>
      <c r="X621" s="3"/>
      <c r="Y621" s="3"/>
      <c r="Z621" s="3"/>
      <c r="AA621" s="3">
        <v>42000</v>
      </c>
      <c r="AB621" s="3">
        <v>3200</v>
      </c>
      <c r="AC621" s="4">
        <v>43791</v>
      </c>
      <c r="AD621" s="3" t="s">
        <v>42</v>
      </c>
      <c r="AE621" s="3" t="s">
        <v>2781</v>
      </c>
      <c r="AF621" s="3">
        <v>0</v>
      </c>
    </row>
    <row r="622" spans="1:32" ht="27.95" x14ac:dyDescent="0.3">
      <c r="A622" s="5">
        <v>616</v>
      </c>
      <c r="B622" s="5" t="str">
        <f>"201600028409"</f>
        <v>201600028409</v>
      </c>
      <c r="C622" s="5" t="str">
        <f>"16649"</f>
        <v>16649</v>
      </c>
      <c r="D622" s="5" t="s">
        <v>3454</v>
      </c>
      <c r="E622" s="5">
        <v>20536053621</v>
      </c>
      <c r="F622" s="5" t="s">
        <v>1146</v>
      </c>
      <c r="G622" s="5" t="s">
        <v>3455</v>
      </c>
      <c r="H622" s="5" t="s">
        <v>58</v>
      </c>
      <c r="I622" s="5" t="s">
        <v>58</v>
      </c>
      <c r="J622" s="5" t="s">
        <v>444</v>
      </c>
      <c r="K622" s="5" t="s">
        <v>37</v>
      </c>
      <c r="L622" s="5" t="s">
        <v>1111</v>
      </c>
      <c r="M622" s="5" t="s">
        <v>555</v>
      </c>
      <c r="N622" s="5" t="s">
        <v>296</v>
      </c>
      <c r="O622" s="5" t="s">
        <v>174</v>
      </c>
      <c r="P622" s="5" t="s">
        <v>1111</v>
      </c>
      <c r="Q622" s="5" t="s">
        <v>555</v>
      </c>
      <c r="R622" s="5" t="s">
        <v>296</v>
      </c>
      <c r="S622" s="5" t="s">
        <v>505</v>
      </c>
      <c r="T622" s="5" t="s">
        <v>94</v>
      </c>
      <c r="U622" s="5"/>
      <c r="V622" s="5"/>
      <c r="W622" s="5"/>
      <c r="X622" s="5"/>
      <c r="Y622" s="5"/>
      <c r="Z622" s="5"/>
      <c r="AA622" s="5">
        <v>16000</v>
      </c>
      <c r="AB622" s="5">
        <v>5000</v>
      </c>
      <c r="AC622" s="6">
        <v>42481</v>
      </c>
      <c r="AD622" s="5" t="s">
        <v>42</v>
      </c>
      <c r="AE622" s="5" t="s">
        <v>256</v>
      </c>
      <c r="AF622" s="5">
        <v>0</v>
      </c>
    </row>
    <row r="623" spans="1:32" ht="27.95" x14ac:dyDescent="0.3">
      <c r="A623" s="3">
        <v>617</v>
      </c>
      <c r="B623" s="3" t="str">
        <f>"201900195005"</f>
        <v>201900195005</v>
      </c>
      <c r="C623" s="3" t="str">
        <f>"6986"</f>
        <v>6986</v>
      </c>
      <c r="D623" s="3" t="s">
        <v>3456</v>
      </c>
      <c r="E623" s="3">
        <v>20494543410</v>
      </c>
      <c r="F623" s="3" t="s">
        <v>3457</v>
      </c>
      <c r="G623" s="3" t="s">
        <v>3458</v>
      </c>
      <c r="H623" s="3" t="s">
        <v>47</v>
      </c>
      <c r="I623" s="3" t="s">
        <v>159</v>
      </c>
      <c r="J623" s="3" t="s">
        <v>3459</v>
      </c>
      <c r="K623" s="3" t="s">
        <v>37</v>
      </c>
      <c r="L623" s="3" t="s">
        <v>84</v>
      </c>
      <c r="M623" s="3" t="s">
        <v>2146</v>
      </c>
      <c r="N623" s="3" t="s">
        <v>248</v>
      </c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>
        <v>8000</v>
      </c>
      <c r="AB623" s="3">
        <v>3000</v>
      </c>
      <c r="AC623" s="4">
        <v>43795</v>
      </c>
      <c r="AD623" s="3" t="s">
        <v>42</v>
      </c>
      <c r="AE623" s="3" t="s">
        <v>3460</v>
      </c>
      <c r="AF623" s="3">
        <v>0</v>
      </c>
    </row>
    <row r="624" spans="1:32" ht="27.95" x14ac:dyDescent="0.3">
      <c r="A624" s="5">
        <v>618</v>
      </c>
      <c r="B624" s="5" t="str">
        <f>"201300045146"</f>
        <v>201300045146</v>
      </c>
      <c r="C624" s="5" t="str">
        <f>"95522"</f>
        <v>95522</v>
      </c>
      <c r="D624" s="5" t="s">
        <v>3461</v>
      </c>
      <c r="E624" s="5">
        <v>20534267437</v>
      </c>
      <c r="F624" s="5" t="s">
        <v>3462</v>
      </c>
      <c r="G624" s="5" t="s">
        <v>3463</v>
      </c>
      <c r="H624" s="5" t="s">
        <v>47</v>
      </c>
      <c r="I624" s="5" t="s">
        <v>47</v>
      </c>
      <c r="J624" s="5" t="s">
        <v>48</v>
      </c>
      <c r="K624" s="5" t="s">
        <v>37</v>
      </c>
      <c r="L624" s="5" t="s">
        <v>285</v>
      </c>
      <c r="M624" s="5" t="s">
        <v>3464</v>
      </c>
      <c r="N624" s="5" t="s">
        <v>78</v>
      </c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>
        <v>8000</v>
      </c>
      <c r="AB624" s="5">
        <v>3200</v>
      </c>
      <c r="AC624" s="6">
        <v>41341</v>
      </c>
      <c r="AD624" s="5" t="s">
        <v>42</v>
      </c>
      <c r="AE624" s="5" t="s">
        <v>3465</v>
      </c>
      <c r="AF624" s="5">
        <v>0</v>
      </c>
    </row>
    <row r="625" spans="1:32" ht="27.95" x14ac:dyDescent="0.3">
      <c r="A625" s="3">
        <v>619</v>
      </c>
      <c r="B625" s="3" t="str">
        <f>"201900033622"</f>
        <v>201900033622</v>
      </c>
      <c r="C625" s="3" t="str">
        <f>"89942"</f>
        <v>89942</v>
      </c>
      <c r="D625" s="3" t="s">
        <v>3466</v>
      </c>
      <c r="E625" s="3">
        <v>20604201544</v>
      </c>
      <c r="F625" s="3" t="s">
        <v>3467</v>
      </c>
      <c r="G625" s="3" t="s">
        <v>3468</v>
      </c>
      <c r="H625" s="3" t="s">
        <v>36</v>
      </c>
      <c r="I625" s="3" t="s">
        <v>36</v>
      </c>
      <c r="J625" s="3" t="s">
        <v>3469</v>
      </c>
      <c r="K625" s="3" t="s">
        <v>37</v>
      </c>
      <c r="L625" s="3" t="s">
        <v>3470</v>
      </c>
      <c r="M625" s="3" t="s">
        <v>3471</v>
      </c>
      <c r="N625" s="3" t="s">
        <v>78</v>
      </c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>
        <v>8000</v>
      </c>
      <c r="AB625" s="3">
        <v>3200</v>
      </c>
      <c r="AC625" s="4">
        <v>43525</v>
      </c>
      <c r="AD625" s="3" t="s">
        <v>42</v>
      </c>
      <c r="AE625" s="3" t="s">
        <v>1263</v>
      </c>
      <c r="AF625" s="3">
        <v>0</v>
      </c>
    </row>
    <row r="626" spans="1:32" ht="27.95" x14ac:dyDescent="0.3">
      <c r="A626" s="5">
        <v>620</v>
      </c>
      <c r="B626" s="5" t="str">
        <f>"201900211364"</f>
        <v>201900211364</v>
      </c>
      <c r="C626" s="5" t="str">
        <f>"144337"</f>
        <v>144337</v>
      </c>
      <c r="D626" s="5" t="s">
        <v>3472</v>
      </c>
      <c r="E626" s="5">
        <v>20603282516</v>
      </c>
      <c r="F626" s="5" t="s">
        <v>3473</v>
      </c>
      <c r="G626" s="5" t="s">
        <v>3474</v>
      </c>
      <c r="H626" s="5" t="s">
        <v>150</v>
      </c>
      <c r="I626" s="5" t="s">
        <v>151</v>
      </c>
      <c r="J626" s="5" t="s">
        <v>151</v>
      </c>
      <c r="K626" s="5" t="s">
        <v>37</v>
      </c>
      <c r="L626" s="5" t="s">
        <v>63</v>
      </c>
      <c r="M626" s="5" t="s">
        <v>2223</v>
      </c>
      <c r="N626" s="5" t="s">
        <v>642</v>
      </c>
      <c r="O626" s="5" t="s">
        <v>94</v>
      </c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>
        <v>18000</v>
      </c>
      <c r="AB626" s="5">
        <v>5000</v>
      </c>
      <c r="AC626" s="6">
        <v>43819</v>
      </c>
      <c r="AD626" s="5" t="s">
        <v>42</v>
      </c>
      <c r="AE626" s="5" t="s">
        <v>3475</v>
      </c>
      <c r="AF626" s="5">
        <v>0</v>
      </c>
    </row>
    <row r="627" spans="1:32" ht="27.95" x14ac:dyDescent="0.3">
      <c r="A627" s="3">
        <v>621</v>
      </c>
      <c r="B627" s="3" t="str">
        <f>"202000135484"</f>
        <v>202000135484</v>
      </c>
      <c r="C627" s="3" t="str">
        <f>"137634"</f>
        <v>137634</v>
      </c>
      <c r="D627" s="3" t="s">
        <v>3476</v>
      </c>
      <c r="E627" s="3">
        <v>20525707351</v>
      </c>
      <c r="F627" s="3" t="s">
        <v>3477</v>
      </c>
      <c r="G627" s="3" t="s">
        <v>3478</v>
      </c>
      <c r="H627" s="3" t="s">
        <v>187</v>
      </c>
      <c r="I627" s="3" t="s">
        <v>1630</v>
      </c>
      <c r="J627" s="3" t="s">
        <v>1630</v>
      </c>
      <c r="K627" s="3" t="s">
        <v>37</v>
      </c>
      <c r="L627" s="3" t="s">
        <v>1302</v>
      </c>
      <c r="M627" s="3" t="s">
        <v>3479</v>
      </c>
      <c r="N627" s="3" t="s">
        <v>3480</v>
      </c>
      <c r="O627" s="3" t="s">
        <v>3481</v>
      </c>
      <c r="P627" s="3" t="s">
        <v>3482</v>
      </c>
      <c r="Q627" s="3" t="s">
        <v>3482</v>
      </c>
      <c r="R627" s="3" t="s">
        <v>94</v>
      </c>
      <c r="S627" s="3"/>
      <c r="T627" s="3"/>
      <c r="U627" s="3"/>
      <c r="V627" s="3"/>
      <c r="W627" s="3"/>
      <c r="X627" s="3"/>
      <c r="Y627" s="3"/>
      <c r="Z627" s="3"/>
      <c r="AA627" s="3">
        <v>27400</v>
      </c>
      <c r="AB627" s="3">
        <v>5000</v>
      </c>
      <c r="AC627" s="4">
        <v>44110</v>
      </c>
      <c r="AD627" s="3" t="s">
        <v>42</v>
      </c>
      <c r="AE627" s="3" t="s">
        <v>3483</v>
      </c>
      <c r="AF627" s="3">
        <v>720</v>
      </c>
    </row>
    <row r="628" spans="1:32" ht="27.95" x14ac:dyDescent="0.3">
      <c r="A628" s="5">
        <v>622</v>
      </c>
      <c r="B628" s="5" t="str">
        <f>"201900036002"</f>
        <v>201900036002</v>
      </c>
      <c r="C628" s="5" t="str">
        <f>"8232"</f>
        <v>8232</v>
      </c>
      <c r="D628" s="5" t="s">
        <v>3484</v>
      </c>
      <c r="E628" s="5">
        <v>20282242819</v>
      </c>
      <c r="F628" s="5" t="s">
        <v>1909</v>
      </c>
      <c r="G628" s="5" t="s">
        <v>3485</v>
      </c>
      <c r="H628" s="5" t="s">
        <v>108</v>
      </c>
      <c r="I628" s="5" t="s">
        <v>647</v>
      </c>
      <c r="J628" s="5" t="s">
        <v>958</v>
      </c>
      <c r="K628" s="5" t="s">
        <v>37</v>
      </c>
      <c r="L628" s="5" t="s">
        <v>2003</v>
      </c>
      <c r="M628" s="5" t="s">
        <v>63</v>
      </c>
      <c r="N628" s="5" t="s">
        <v>102</v>
      </c>
      <c r="O628" s="5" t="s">
        <v>94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>
        <v>17000</v>
      </c>
      <c r="AB628" s="5">
        <v>5000</v>
      </c>
      <c r="AC628" s="6">
        <v>43531</v>
      </c>
      <c r="AD628" s="5" t="s">
        <v>42</v>
      </c>
      <c r="AE628" s="5" t="s">
        <v>1912</v>
      </c>
      <c r="AF628" s="5">
        <v>0</v>
      </c>
    </row>
    <row r="629" spans="1:32" x14ac:dyDescent="0.3">
      <c r="A629" s="3">
        <v>623</v>
      </c>
      <c r="B629" s="3" t="str">
        <f>"201800170499"</f>
        <v>201800170499</v>
      </c>
      <c r="C629" s="3" t="str">
        <f>"139116"</f>
        <v>139116</v>
      </c>
      <c r="D629" s="3" t="s">
        <v>3486</v>
      </c>
      <c r="E629" s="3">
        <v>20603350261</v>
      </c>
      <c r="F629" s="3" t="s">
        <v>3487</v>
      </c>
      <c r="G629" s="3" t="s">
        <v>3488</v>
      </c>
      <c r="H629" s="3" t="s">
        <v>638</v>
      </c>
      <c r="I629" s="3" t="s">
        <v>639</v>
      </c>
      <c r="J629" s="3" t="s">
        <v>3489</v>
      </c>
      <c r="K629" s="3" t="s">
        <v>37</v>
      </c>
      <c r="L629" s="3" t="s">
        <v>3490</v>
      </c>
      <c r="M629" s="3" t="s">
        <v>911</v>
      </c>
      <c r="N629" s="3" t="s">
        <v>2062</v>
      </c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>
        <v>16000</v>
      </c>
      <c r="AB629" s="3">
        <v>5700</v>
      </c>
      <c r="AC629" s="4">
        <v>43391</v>
      </c>
      <c r="AD629" s="3" t="s">
        <v>42</v>
      </c>
      <c r="AE629" s="3" t="s">
        <v>3491</v>
      </c>
      <c r="AF629" s="3">
        <v>0</v>
      </c>
    </row>
    <row r="630" spans="1:32" ht="41.95" x14ac:dyDescent="0.3">
      <c r="A630" s="5">
        <v>624</v>
      </c>
      <c r="B630" s="5" t="str">
        <f>"201900132848"</f>
        <v>201900132848</v>
      </c>
      <c r="C630" s="5" t="str">
        <f>"134236"</f>
        <v>134236</v>
      </c>
      <c r="D630" s="5" t="s">
        <v>3492</v>
      </c>
      <c r="E630" s="5">
        <v>20453552846</v>
      </c>
      <c r="F630" s="5" t="s">
        <v>3493</v>
      </c>
      <c r="G630" s="5" t="s">
        <v>3494</v>
      </c>
      <c r="H630" s="5" t="s">
        <v>134</v>
      </c>
      <c r="I630" s="5" t="s">
        <v>134</v>
      </c>
      <c r="J630" s="5" t="s">
        <v>134</v>
      </c>
      <c r="K630" s="5" t="s">
        <v>37</v>
      </c>
      <c r="L630" s="5" t="s">
        <v>61</v>
      </c>
      <c r="M630" s="5" t="s">
        <v>2399</v>
      </c>
      <c r="N630" s="5" t="s">
        <v>459</v>
      </c>
      <c r="O630" s="5" t="s">
        <v>78</v>
      </c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>
        <v>13800</v>
      </c>
      <c r="AB630" s="5">
        <v>3200</v>
      </c>
      <c r="AC630" s="6">
        <v>43698</v>
      </c>
      <c r="AD630" s="5" t="s">
        <v>42</v>
      </c>
      <c r="AE630" s="5" t="s">
        <v>3495</v>
      </c>
      <c r="AF630" s="5">
        <v>0</v>
      </c>
    </row>
    <row r="631" spans="1:32" x14ac:dyDescent="0.3">
      <c r="A631" s="3">
        <v>625</v>
      </c>
      <c r="B631" s="3" t="str">
        <f>"201700166427"</f>
        <v>201700166427</v>
      </c>
      <c r="C631" s="3" t="str">
        <f>"43452"</f>
        <v>43452</v>
      </c>
      <c r="D631" s="3" t="s">
        <v>3496</v>
      </c>
      <c r="E631" s="3">
        <v>20541328166</v>
      </c>
      <c r="F631" s="3" t="s">
        <v>3497</v>
      </c>
      <c r="G631" s="3" t="s">
        <v>3498</v>
      </c>
      <c r="H631" s="3" t="s">
        <v>108</v>
      </c>
      <c r="I631" s="3" t="s">
        <v>647</v>
      </c>
      <c r="J631" s="3" t="s">
        <v>1117</v>
      </c>
      <c r="K631" s="3" t="s">
        <v>37</v>
      </c>
      <c r="L631" s="3" t="s">
        <v>3499</v>
      </c>
      <c r="M631" s="3" t="s">
        <v>3500</v>
      </c>
      <c r="N631" s="3" t="s">
        <v>3501</v>
      </c>
      <c r="O631" s="3" t="s">
        <v>94</v>
      </c>
      <c r="P631" s="3" t="s">
        <v>94</v>
      </c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>
        <v>15219</v>
      </c>
      <c r="AB631" s="3">
        <v>10000</v>
      </c>
      <c r="AC631" s="4">
        <v>43021</v>
      </c>
      <c r="AD631" s="3" t="s">
        <v>42</v>
      </c>
      <c r="AE631" s="3" t="s">
        <v>3502</v>
      </c>
      <c r="AF631" s="3">
        <v>0</v>
      </c>
    </row>
    <row r="632" spans="1:32" ht="27.95" x14ac:dyDescent="0.3">
      <c r="A632" s="5">
        <v>626</v>
      </c>
      <c r="B632" s="5" t="str">
        <f>"201400122891"</f>
        <v>201400122891</v>
      </c>
      <c r="C632" s="5" t="str">
        <f>"39167"</f>
        <v>39167</v>
      </c>
      <c r="D632" s="5" t="s">
        <v>3503</v>
      </c>
      <c r="E632" s="5">
        <v>20210975862</v>
      </c>
      <c r="F632" s="5" t="s">
        <v>3504</v>
      </c>
      <c r="G632" s="5" t="s">
        <v>3505</v>
      </c>
      <c r="H632" s="5" t="s">
        <v>58</v>
      </c>
      <c r="I632" s="5" t="s">
        <v>58</v>
      </c>
      <c r="J632" s="5" t="s">
        <v>3506</v>
      </c>
      <c r="K632" s="5" t="s">
        <v>37</v>
      </c>
      <c r="L632" s="5" t="s">
        <v>3507</v>
      </c>
      <c r="M632" s="5" t="s">
        <v>3508</v>
      </c>
      <c r="N632" s="5" t="s">
        <v>103</v>
      </c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14000</v>
      </c>
      <c r="AB632" s="5">
        <v>2500</v>
      </c>
      <c r="AC632" s="6">
        <v>41901</v>
      </c>
      <c r="AD632" s="5" t="s">
        <v>42</v>
      </c>
      <c r="AE632" s="5" t="s">
        <v>1815</v>
      </c>
      <c r="AF632" s="5">
        <v>0</v>
      </c>
    </row>
    <row r="633" spans="1:32" ht="27.95" x14ac:dyDescent="0.3">
      <c r="A633" s="3">
        <v>627</v>
      </c>
      <c r="B633" s="3" t="str">
        <f>"201600110660"</f>
        <v>201600110660</v>
      </c>
      <c r="C633" s="3" t="str">
        <f>"43930"</f>
        <v>43930</v>
      </c>
      <c r="D633" s="3" t="s">
        <v>3509</v>
      </c>
      <c r="E633" s="3">
        <v>20600579445</v>
      </c>
      <c r="F633" s="3" t="s">
        <v>3510</v>
      </c>
      <c r="G633" s="3" t="s">
        <v>3511</v>
      </c>
      <c r="H633" s="3" t="s">
        <v>58</v>
      </c>
      <c r="I633" s="3" t="s">
        <v>498</v>
      </c>
      <c r="J633" s="3" t="s">
        <v>988</v>
      </c>
      <c r="K633" s="3" t="s">
        <v>37</v>
      </c>
      <c r="L633" s="3" t="s">
        <v>459</v>
      </c>
      <c r="M633" s="3" t="s">
        <v>3317</v>
      </c>
      <c r="N633" s="3" t="s">
        <v>1163</v>
      </c>
      <c r="O633" s="3" t="s">
        <v>103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>
        <v>8000</v>
      </c>
      <c r="AB633" s="3">
        <v>2500</v>
      </c>
      <c r="AC633" s="4">
        <v>42591</v>
      </c>
      <c r="AD633" s="3" t="s">
        <v>42</v>
      </c>
      <c r="AE633" s="3" t="s">
        <v>3512</v>
      </c>
      <c r="AF633" s="3">
        <v>0</v>
      </c>
    </row>
    <row r="634" spans="1:32" ht="41.95" x14ac:dyDescent="0.3">
      <c r="A634" s="5">
        <v>628</v>
      </c>
      <c r="B634" s="5" t="str">
        <f>"201800106913"</f>
        <v>201800106913</v>
      </c>
      <c r="C634" s="5" t="str">
        <f>"82629"</f>
        <v>82629</v>
      </c>
      <c r="D634" s="5" t="s">
        <v>3513</v>
      </c>
      <c r="E634" s="5">
        <v>10215437561</v>
      </c>
      <c r="F634" s="5" t="s">
        <v>2095</v>
      </c>
      <c r="G634" s="5" t="s">
        <v>3514</v>
      </c>
      <c r="H634" s="5" t="s">
        <v>47</v>
      </c>
      <c r="I634" s="5" t="s">
        <v>47</v>
      </c>
      <c r="J634" s="5" t="s">
        <v>965</v>
      </c>
      <c r="K634" s="5" t="s">
        <v>37</v>
      </c>
      <c r="L634" s="5" t="s">
        <v>3515</v>
      </c>
      <c r="M634" s="5" t="s">
        <v>3516</v>
      </c>
      <c r="N634" s="5" t="s">
        <v>120</v>
      </c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>
        <v>16878</v>
      </c>
      <c r="AB634" s="5">
        <v>3500</v>
      </c>
      <c r="AC634" s="6">
        <v>43284</v>
      </c>
      <c r="AD634" s="5" t="s">
        <v>42</v>
      </c>
      <c r="AE634" s="5" t="s">
        <v>2095</v>
      </c>
      <c r="AF634" s="5">
        <v>720</v>
      </c>
    </row>
    <row r="635" spans="1:32" ht="41.95" x14ac:dyDescent="0.3">
      <c r="A635" s="3">
        <v>629</v>
      </c>
      <c r="B635" s="3" t="str">
        <f>"201900023715"</f>
        <v>201900023715</v>
      </c>
      <c r="C635" s="3" t="str">
        <f>"62582"</f>
        <v>62582</v>
      </c>
      <c r="D635" s="3" t="s">
        <v>3517</v>
      </c>
      <c r="E635" s="3">
        <v>10257025093</v>
      </c>
      <c r="F635" s="3" t="s">
        <v>3518</v>
      </c>
      <c r="G635" s="3" t="s">
        <v>3519</v>
      </c>
      <c r="H635" s="3" t="s">
        <v>329</v>
      </c>
      <c r="I635" s="3" t="s">
        <v>329</v>
      </c>
      <c r="J635" s="3" t="s">
        <v>1546</v>
      </c>
      <c r="K635" s="3" t="s">
        <v>37</v>
      </c>
      <c r="L635" s="3" t="s">
        <v>3520</v>
      </c>
      <c r="M635" s="3" t="s">
        <v>3521</v>
      </c>
      <c r="N635" s="3" t="s">
        <v>78</v>
      </c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>
        <v>6186</v>
      </c>
      <c r="AB635" s="3">
        <v>3200</v>
      </c>
      <c r="AC635" s="4">
        <v>43529</v>
      </c>
      <c r="AD635" s="3" t="s">
        <v>42</v>
      </c>
      <c r="AE635" s="3" t="s">
        <v>3518</v>
      </c>
      <c r="AF635" s="3">
        <v>0</v>
      </c>
    </row>
    <row r="636" spans="1:32" ht="41.95" x14ac:dyDescent="0.3">
      <c r="A636" s="5">
        <v>630</v>
      </c>
      <c r="B636" s="5" t="str">
        <f>"201900211375"</f>
        <v>201900211375</v>
      </c>
      <c r="C636" s="5" t="str">
        <f>"141073"</f>
        <v>141073</v>
      </c>
      <c r="D636" s="5" t="s">
        <v>3522</v>
      </c>
      <c r="E636" s="5">
        <v>20602097251</v>
      </c>
      <c r="F636" s="5" t="s">
        <v>3523</v>
      </c>
      <c r="G636" s="5" t="s">
        <v>3524</v>
      </c>
      <c r="H636" s="5" t="s">
        <v>47</v>
      </c>
      <c r="I636" s="5" t="s">
        <v>47</v>
      </c>
      <c r="J636" s="5" t="s">
        <v>1636</v>
      </c>
      <c r="K636" s="5" t="s">
        <v>37</v>
      </c>
      <c r="L636" s="5" t="s">
        <v>166</v>
      </c>
      <c r="M636" s="5" t="s">
        <v>3525</v>
      </c>
      <c r="N636" s="5" t="s">
        <v>480</v>
      </c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>
        <v>20000</v>
      </c>
      <c r="AB636" s="5">
        <v>7800</v>
      </c>
      <c r="AC636" s="6">
        <v>43818</v>
      </c>
      <c r="AD636" s="5" t="s">
        <v>42</v>
      </c>
      <c r="AE636" s="5" t="s">
        <v>3526</v>
      </c>
      <c r="AF636" s="5">
        <v>0</v>
      </c>
    </row>
    <row r="637" spans="1:32" ht="27.95" x14ac:dyDescent="0.3">
      <c r="A637" s="3">
        <v>631</v>
      </c>
      <c r="B637" s="3" t="str">
        <f>"202000116081"</f>
        <v>202000116081</v>
      </c>
      <c r="C637" s="3" t="str">
        <f>"36538"</f>
        <v>36538</v>
      </c>
      <c r="D637" s="3" t="s">
        <v>3527</v>
      </c>
      <c r="E637" s="3">
        <v>20571379245</v>
      </c>
      <c r="F637" s="3" t="s">
        <v>3528</v>
      </c>
      <c r="G637" s="3" t="s">
        <v>3529</v>
      </c>
      <c r="H637" s="3" t="s">
        <v>58</v>
      </c>
      <c r="I637" s="3" t="s">
        <v>498</v>
      </c>
      <c r="J637" s="3" t="s">
        <v>2010</v>
      </c>
      <c r="K637" s="3" t="s">
        <v>37</v>
      </c>
      <c r="L637" s="3" t="s">
        <v>1559</v>
      </c>
      <c r="M637" s="3" t="s">
        <v>3530</v>
      </c>
      <c r="N637" s="3" t="s">
        <v>464</v>
      </c>
      <c r="O637" s="3" t="s">
        <v>78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>
        <v>9900</v>
      </c>
      <c r="AB637" s="3">
        <v>3200</v>
      </c>
      <c r="AC637" s="4">
        <v>44082</v>
      </c>
      <c r="AD637" s="3" t="s">
        <v>42</v>
      </c>
      <c r="AE637" s="3" t="s">
        <v>3387</v>
      </c>
      <c r="AF637" s="3">
        <v>480</v>
      </c>
    </row>
    <row r="638" spans="1:32" ht="41.95" x14ac:dyDescent="0.3">
      <c r="A638" s="5">
        <v>632</v>
      </c>
      <c r="B638" s="5" t="str">
        <f>"201700041679"</f>
        <v>201700041679</v>
      </c>
      <c r="C638" s="5" t="str">
        <f>"93532"</f>
        <v>93532</v>
      </c>
      <c r="D638" s="5" t="s">
        <v>3531</v>
      </c>
      <c r="E638" s="5">
        <v>20601715393</v>
      </c>
      <c r="F638" s="5" t="s">
        <v>3532</v>
      </c>
      <c r="G638" s="5" t="s">
        <v>3533</v>
      </c>
      <c r="H638" s="5" t="s">
        <v>219</v>
      </c>
      <c r="I638" s="5" t="s">
        <v>220</v>
      </c>
      <c r="J638" s="5" t="s">
        <v>220</v>
      </c>
      <c r="K638" s="5" t="s">
        <v>37</v>
      </c>
      <c r="L638" s="5" t="s">
        <v>3534</v>
      </c>
      <c r="M638" s="5" t="s">
        <v>3535</v>
      </c>
      <c r="N638" s="5" t="s">
        <v>3534</v>
      </c>
      <c r="O638" s="5" t="s">
        <v>3536</v>
      </c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>
        <v>12268</v>
      </c>
      <c r="AB638" s="5">
        <v>4320</v>
      </c>
      <c r="AC638" s="6">
        <v>42822</v>
      </c>
      <c r="AD638" s="5" t="s">
        <v>42</v>
      </c>
      <c r="AE638" s="5" t="s">
        <v>1144</v>
      </c>
      <c r="AF638" s="5">
        <v>0</v>
      </c>
    </row>
    <row r="639" spans="1:32" ht="41.95" x14ac:dyDescent="0.3">
      <c r="A639" s="3">
        <v>633</v>
      </c>
      <c r="B639" s="3" t="str">
        <f>"202000091979"</f>
        <v>202000091979</v>
      </c>
      <c r="C639" s="3" t="str">
        <f>"112175"</f>
        <v>112175</v>
      </c>
      <c r="D639" s="3" t="s">
        <v>3537</v>
      </c>
      <c r="E639" s="3">
        <v>20605443576</v>
      </c>
      <c r="F639" s="3" t="s">
        <v>3538</v>
      </c>
      <c r="G639" s="3" t="s">
        <v>3539</v>
      </c>
      <c r="H639" s="3" t="s">
        <v>36</v>
      </c>
      <c r="I639" s="3" t="s">
        <v>409</v>
      </c>
      <c r="J639" s="3" t="s">
        <v>738</v>
      </c>
      <c r="K639" s="3" t="s">
        <v>37</v>
      </c>
      <c r="L639" s="3" t="s">
        <v>3540</v>
      </c>
      <c r="M639" s="3" t="s">
        <v>3541</v>
      </c>
      <c r="N639" s="3" t="s">
        <v>3542</v>
      </c>
      <c r="O639" s="3" t="s">
        <v>154</v>
      </c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>
        <v>14944</v>
      </c>
      <c r="AB639" s="3">
        <v>6000</v>
      </c>
      <c r="AC639" s="4">
        <v>44077</v>
      </c>
      <c r="AD639" s="3" t="s">
        <v>42</v>
      </c>
      <c r="AE639" s="3" t="s">
        <v>1401</v>
      </c>
      <c r="AF639" s="3">
        <v>0</v>
      </c>
    </row>
    <row r="640" spans="1:32" ht="27.95" x14ac:dyDescent="0.3">
      <c r="A640" s="5">
        <v>634</v>
      </c>
      <c r="B640" s="5" t="str">
        <f>"202000089444"</f>
        <v>202000089444</v>
      </c>
      <c r="C640" s="5" t="str">
        <f>"38290"</f>
        <v>38290</v>
      </c>
      <c r="D640" s="5" t="s">
        <v>3543</v>
      </c>
      <c r="E640" s="5">
        <v>20529262541</v>
      </c>
      <c r="F640" s="5" t="s">
        <v>3544</v>
      </c>
      <c r="G640" s="5" t="s">
        <v>3545</v>
      </c>
      <c r="H640" s="5" t="s">
        <v>125</v>
      </c>
      <c r="I640" s="5" t="s">
        <v>509</v>
      </c>
      <c r="J640" s="5" t="s">
        <v>510</v>
      </c>
      <c r="K640" s="5" t="s">
        <v>37</v>
      </c>
      <c r="L640" s="5" t="s">
        <v>61</v>
      </c>
      <c r="M640" s="5" t="s">
        <v>63</v>
      </c>
      <c r="N640" s="5" t="s">
        <v>63</v>
      </c>
      <c r="O640" s="5" t="s">
        <v>94</v>
      </c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>
        <v>20000</v>
      </c>
      <c r="AB640" s="5">
        <v>5000</v>
      </c>
      <c r="AC640" s="6">
        <v>44039</v>
      </c>
      <c r="AD640" s="6">
        <v>44404</v>
      </c>
      <c r="AE640" s="5" t="s">
        <v>3546</v>
      </c>
      <c r="AF640" s="5">
        <v>720</v>
      </c>
    </row>
    <row r="641" spans="1:32" ht="27.95" x14ac:dyDescent="0.3">
      <c r="A641" s="3">
        <v>635</v>
      </c>
      <c r="B641" s="3" t="str">
        <f>"201900147996"</f>
        <v>201900147996</v>
      </c>
      <c r="C641" s="3" t="str">
        <f>"39362"</f>
        <v>39362</v>
      </c>
      <c r="D641" s="3" t="s">
        <v>3547</v>
      </c>
      <c r="E641" s="3">
        <v>20563371561</v>
      </c>
      <c r="F641" s="3" t="s">
        <v>3548</v>
      </c>
      <c r="G641" s="3" t="s">
        <v>3549</v>
      </c>
      <c r="H641" s="3" t="s">
        <v>532</v>
      </c>
      <c r="I641" s="3" t="s">
        <v>532</v>
      </c>
      <c r="J641" s="3" t="s">
        <v>2100</v>
      </c>
      <c r="K641" s="3" t="s">
        <v>37</v>
      </c>
      <c r="L641" s="3" t="s">
        <v>3550</v>
      </c>
      <c r="M641" s="3" t="s">
        <v>950</v>
      </c>
      <c r="N641" s="3" t="s">
        <v>174</v>
      </c>
      <c r="O641" s="3" t="s">
        <v>1153</v>
      </c>
      <c r="P641" s="3" t="s">
        <v>94</v>
      </c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>
        <v>26500</v>
      </c>
      <c r="AB641" s="3">
        <v>5000</v>
      </c>
      <c r="AC641" s="4">
        <v>43733</v>
      </c>
      <c r="AD641" s="3" t="s">
        <v>42</v>
      </c>
      <c r="AE641" s="3" t="s">
        <v>3551</v>
      </c>
      <c r="AF641" s="3">
        <v>200</v>
      </c>
    </row>
    <row r="642" spans="1:32" ht="27.95" x14ac:dyDescent="0.3">
      <c r="A642" s="5">
        <v>636</v>
      </c>
      <c r="B642" s="5" t="str">
        <f>"201800169305"</f>
        <v>201800169305</v>
      </c>
      <c r="C642" s="5" t="str">
        <f>"116448"</f>
        <v>116448</v>
      </c>
      <c r="D642" s="5" t="s">
        <v>3552</v>
      </c>
      <c r="E642" s="5">
        <v>10402411771</v>
      </c>
      <c r="F642" s="5" t="s">
        <v>3553</v>
      </c>
      <c r="G642" s="5" t="s">
        <v>3554</v>
      </c>
      <c r="H642" s="5" t="s">
        <v>219</v>
      </c>
      <c r="I642" s="5" t="s">
        <v>220</v>
      </c>
      <c r="J642" s="5" t="s">
        <v>3555</v>
      </c>
      <c r="K642" s="5" t="s">
        <v>37</v>
      </c>
      <c r="L642" s="5" t="s">
        <v>3192</v>
      </c>
      <c r="M642" s="5" t="s">
        <v>172</v>
      </c>
      <c r="N642" s="5" t="s">
        <v>51</v>
      </c>
      <c r="O642" s="5" t="s">
        <v>555</v>
      </c>
      <c r="P642" s="5" t="s">
        <v>412</v>
      </c>
      <c r="Q642" s="5" t="s">
        <v>94</v>
      </c>
      <c r="R642" s="5"/>
      <c r="S642" s="5"/>
      <c r="T642" s="5"/>
      <c r="U642" s="5"/>
      <c r="V642" s="5"/>
      <c r="W642" s="5"/>
      <c r="X642" s="5"/>
      <c r="Y642" s="5"/>
      <c r="Z642" s="5"/>
      <c r="AA642" s="5">
        <v>24000</v>
      </c>
      <c r="AB642" s="5">
        <v>5000</v>
      </c>
      <c r="AC642" s="6">
        <v>43390</v>
      </c>
      <c r="AD642" s="5" t="s">
        <v>42</v>
      </c>
      <c r="AE642" s="5" t="s">
        <v>3553</v>
      </c>
      <c r="AF642" s="5">
        <v>720</v>
      </c>
    </row>
    <row r="643" spans="1:32" ht="41.95" x14ac:dyDescent="0.3">
      <c r="A643" s="3">
        <v>637</v>
      </c>
      <c r="B643" s="3" t="str">
        <f>"201500167365"</f>
        <v>201500167365</v>
      </c>
      <c r="C643" s="3" t="str">
        <f>"111520"</f>
        <v>111520</v>
      </c>
      <c r="D643" s="3" t="s">
        <v>3556</v>
      </c>
      <c r="E643" s="3">
        <v>20516797763</v>
      </c>
      <c r="F643" s="3" t="s">
        <v>3557</v>
      </c>
      <c r="G643" s="3" t="s">
        <v>3558</v>
      </c>
      <c r="H643" s="3" t="s">
        <v>58</v>
      </c>
      <c r="I643" s="3" t="s">
        <v>1108</v>
      </c>
      <c r="J643" s="3" t="s">
        <v>374</v>
      </c>
      <c r="K643" s="3" t="s">
        <v>37</v>
      </c>
      <c r="L643" s="3" t="s">
        <v>3559</v>
      </c>
      <c r="M643" s="3" t="s">
        <v>1559</v>
      </c>
      <c r="N643" s="3" t="s">
        <v>3560</v>
      </c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>
        <v>6600</v>
      </c>
      <c r="AB643" s="3">
        <v>2500</v>
      </c>
      <c r="AC643" s="4">
        <v>42367</v>
      </c>
      <c r="AD643" s="3" t="s">
        <v>42</v>
      </c>
      <c r="AE643" s="3" t="s">
        <v>3561</v>
      </c>
      <c r="AF643" s="3">
        <v>0</v>
      </c>
    </row>
    <row r="644" spans="1:32" ht="27.95" x14ac:dyDescent="0.3">
      <c r="A644" s="5">
        <v>638</v>
      </c>
      <c r="B644" s="5" t="str">
        <f>"201900126132"</f>
        <v>201900126132</v>
      </c>
      <c r="C644" s="5" t="str">
        <f>"117167"</f>
        <v>117167</v>
      </c>
      <c r="D644" s="5" t="s">
        <v>3562</v>
      </c>
      <c r="E644" s="5">
        <v>20477261231</v>
      </c>
      <c r="F644" s="5" t="s">
        <v>2297</v>
      </c>
      <c r="G644" s="5" t="s">
        <v>3563</v>
      </c>
      <c r="H644" s="5" t="s">
        <v>219</v>
      </c>
      <c r="I644" s="5" t="s">
        <v>220</v>
      </c>
      <c r="J644" s="5" t="s">
        <v>220</v>
      </c>
      <c r="K644" s="5" t="s">
        <v>37</v>
      </c>
      <c r="L644" s="5" t="s">
        <v>63</v>
      </c>
      <c r="M644" s="5" t="s">
        <v>2003</v>
      </c>
      <c r="N644" s="5" t="s">
        <v>94</v>
      </c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>
        <v>12000</v>
      </c>
      <c r="AB644" s="5">
        <v>5000</v>
      </c>
      <c r="AC644" s="6">
        <v>43716</v>
      </c>
      <c r="AD644" s="5" t="s">
        <v>42</v>
      </c>
      <c r="AE644" s="5" t="s">
        <v>3261</v>
      </c>
      <c r="AF644" s="5">
        <v>0</v>
      </c>
    </row>
    <row r="645" spans="1:32" ht="27.95" x14ac:dyDescent="0.3">
      <c r="A645" s="3">
        <v>639</v>
      </c>
      <c r="B645" s="3" t="str">
        <f>"201800010865"</f>
        <v>201800010865</v>
      </c>
      <c r="C645" s="3" t="str">
        <f>"21358"</f>
        <v>21358</v>
      </c>
      <c r="D645" s="3" t="s">
        <v>3564</v>
      </c>
      <c r="E645" s="3">
        <v>20127765279</v>
      </c>
      <c r="F645" s="3" t="s">
        <v>1115</v>
      </c>
      <c r="G645" s="3" t="s">
        <v>3565</v>
      </c>
      <c r="H645" s="3" t="s">
        <v>58</v>
      </c>
      <c r="I645" s="3" t="s">
        <v>58</v>
      </c>
      <c r="J645" s="3" t="s">
        <v>1091</v>
      </c>
      <c r="K645" s="3" t="s">
        <v>37</v>
      </c>
      <c r="L645" s="3" t="s">
        <v>72</v>
      </c>
      <c r="M645" s="3" t="s">
        <v>562</v>
      </c>
      <c r="N645" s="3" t="s">
        <v>470</v>
      </c>
      <c r="O645" s="3" t="s">
        <v>78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>
        <v>24000</v>
      </c>
      <c r="AB645" s="3">
        <v>3200</v>
      </c>
      <c r="AC645" s="4">
        <v>43122</v>
      </c>
      <c r="AD645" s="3" t="s">
        <v>42</v>
      </c>
      <c r="AE645" s="3" t="s">
        <v>1374</v>
      </c>
      <c r="AF645" s="3">
        <v>720</v>
      </c>
    </row>
    <row r="646" spans="1:32" ht="41.95" x14ac:dyDescent="0.3">
      <c r="A646" s="5">
        <v>640</v>
      </c>
      <c r="B646" s="5" t="str">
        <f>"202000136945"</f>
        <v>202000136945</v>
      </c>
      <c r="C646" s="5" t="str">
        <f>"92847"</f>
        <v>92847</v>
      </c>
      <c r="D646" s="5" t="s">
        <v>3566</v>
      </c>
      <c r="E646" s="5">
        <v>20477263365</v>
      </c>
      <c r="F646" s="5" t="s">
        <v>3567</v>
      </c>
      <c r="G646" s="5" t="s">
        <v>3568</v>
      </c>
      <c r="H646" s="5" t="s">
        <v>219</v>
      </c>
      <c r="I646" s="5" t="s">
        <v>220</v>
      </c>
      <c r="J646" s="5" t="s">
        <v>302</v>
      </c>
      <c r="K646" s="5" t="s">
        <v>37</v>
      </c>
      <c r="L646" s="5" t="s">
        <v>882</v>
      </c>
      <c r="M646" s="5" t="s">
        <v>3569</v>
      </c>
      <c r="N646" s="5" t="s">
        <v>825</v>
      </c>
      <c r="O646" s="5" t="s">
        <v>248</v>
      </c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>
        <v>6485</v>
      </c>
      <c r="AB646" s="5">
        <v>3000</v>
      </c>
      <c r="AC646" s="6">
        <v>44112</v>
      </c>
      <c r="AD646" s="5" t="s">
        <v>42</v>
      </c>
      <c r="AE646" s="5" t="s">
        <v>3570</v>
      </c>
      <c r="AF646" s="5">
        <v>720</v>
      </c>
    </row>
    <row r="647" spans="1:32" ht="41.95" x14ac:dyDescent="0.3">
      <c r="A647" s="3">
        <v>641</v>
      </c>
      <c r="B647" s="3" t="str">
        <f>"201600113426"</f>
        <v>201600113426</v>
      </c>
      <c r="C647" s="3" t="str">
        <f>"21727"</f>
        <v>21727</v>
      </c>
      <c r="D647" s="3" t="s">
        <v>3571</v>
      </c>
      <c r="E647" s="3">
        <v>10218103419</v>
      </c>
      <c r="F647" s="3" t="s">
        <v>3572</v>
      </c>
      <c r="G647" s="3" t="s">
        <v>3573</v>
      </c>
      <c r="H647" s="3" t="s">
        <v>47</v>
      </c>
      <c r="I647" s="3" t="s">
        <v>159</v>
      </c>
      <c r="J647" s="3" t="s">
        <v>3459</v>
      </c>
      <c r="K647" s="3" t="s">
        <v>37</v>
      </c>
      <c r="L647" s="3" t="s">
        <v>419</v>
      </c>
      <c r="M647" s="3" t="s">
        <v>3574</v>
      </c>
      <c r="N647" s="3" t="s">
        <v>3575</v>
      </c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>
        <v>8000</v>
      </c>
      <c r="AB647" s="3">
        <v>4300</v>
      </c>
      <c r="AC647" s="4">
        <v>42592</v>
      </c>
      <c r="AD647" s="3" t="s">
        <v>42</v>
      </c>
      <c r="AE647" s="3" t="s">
        <v>3572</v>
      </c>
      <c r="AF647" s="3">
        <v>720</v>
      </c>
    </row>
    <row r="648" spans="1:32" ht="41.95" x14ac:dyDescent="0.3">
      <c r="A648" s="5">
        <v>642</v>
      </c>
      <c r="B648" s="5" t="str">
        <f>"202000056078"</f>
        <v>202000056078</v>
      </c>
      <c r="C648" s="5" t="str">
        <f>"9585"</f>
        <v>9585</v>
      </c>
      <c r="D648" s="5" t="s">
        <v>3576</v>
      </c>
      <c r="E648" s="5">
        <v>20483291281</v>
      </c>
      <c r="F648" s="5" t="s">
        <v>3577</v>
      </c>
      <c r="G648" s="5" t="s">
        <v>3578</v>
      </c>
      <c r="H648" s="5" t="s">
        <v>187</v>
      </c>
      <c r="I648" s="5" t="s">
        <v>187</v>
      </c>
      <c r="J648" s="5" t="s">
        <v>188</v>
      </c>
      <c r="K648" s="5" t="s">
        <v>37</v>
      </c>
      <c r="L648" s="5" t="s">
        <v>862</v>
      </c>
      <c r="M648" s="5" t="s">
        <v>862</v>
      </c>
      <c r="N648" s="5" t="s">
        <v>3579</v>
      </c>
      <c r="O648" s="5" t="s">
        <v>480</v>
      </c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>
        <v>21700</v>
      </c>
      <c r="AB648" s="5">
        <v>7800</v>
      </c>
      <c r="AC648" s="6">
        <v>43963</v>
      </c>
      <c r="AD648" s="5" t="s">
        <v>42</v>
      </c>
      <c r="AE648" s="5" t="s">
        <v>3580</v>
      </c>
      <c r="AF648" s="5">
        <v>0</v>
      </c>
    </row>
    <row r="649" spans="1:32" x14ac:dyDescent="0.3">
      <c r="A649" s="3">
        <v>643</v>
      </c>
      <c r="B649" s="3" t="str">
        <f>"201900179976"</f>
        <v>201900179976</v>
      </c>
      <c r="C649" s="3" t="str">
        <f>"8586"</f>
        <v>8586</v>
      </c>
      <c r="D649" s="3" t="s">
        <v>3581</v>
      </c>
      <c r="E649" s="3">
        <v>20127765279</v>
      </c>
      <c r="F649" s="3" t="s">
        <v>273</v>
      </c>
      <c r="G649" s="3" t="s">
        <v>3582</v>
      </c>
      <c r="H649" s="3" t="s">
        <v>58</v>
      </c>
      <c r="I649" s="3" t="s">
        <v>58</v>
      </c>
      <c r="J649" s="3" t="s">
        <v>3583</v>
      </c>
      <c r="K649" s="3" t="s">
        <v>37</v>
      </c>
      <c r="L649" s="3" t="s">
        <v>161</v>
      </c>
      <c r="M649" s="3" t="s">
        <v>263</v>
      </c>
      <c r="N649" s="3" t="s">
        <v>63</v>
      </c>
      <c r="O649" s="3" t="s">
        <v>1278</v>
      </c>
      <c r="P649" s="3" t="s">
        <v>64</v>
      </c>
      <c r="Q649" s="3" t="s">
        <v>78</v>
      </c>
      <c r="R649" s="3"/>
      <c r="S649" s="3"/>
      <c r="T649" s="3"/>
      <c r="U649" s="3"/>
      <c r="V649" s="3"/>
      <c r="W649" s="3"/>
      <c r="X649" s="3"/>
      <c r="Y649" s="3"/>
      <c r="Z649" s="3"/>
      <c r="AA649" s="3">
        <v>30000</v>
      </c>
      <c r="AB649" s="3">
        <v>3200</v>
      </c>
      <c r="AC649" s="4">
        <v>43776</v>
      </c>
      <c r="AD649" s="3" t="s">
        <v>42</v>
      </c>
      <c r="AE649" s="3" t="s">
        <v>279</v>
      </c>
      <c r="AF649" s="3">
        <v>0</v>
      </c>
    </row>
    <row r="650" spans="1:32" ht="27.95" x14ac:dyDescent="0.3">
      <c r="A650" s="5">
        <v>644</v>
      </c>
      <c r="B650" s="5" t="str">
        <f>"201700138494"</f>
        <v>201700138494</v>
      </c>
      <c r="C650" s="5" t="str">
        <f>"21190"</f>
        <v>21190</v>
      </c>
      <c r="D650" s="5" t="s">
        <v>3584</v>
      </c>
      <c r="E650" s="5">
        <v>20352280802</v>
      </c>
      <c r="F650" s="5" t="s">
        <v>3585</v>
      </c>
      <c r="G650" s="5" t="s">
        <v>3586</v>
      </c>
      <c r="H650" s="5" t="s">
        <v>638</v>
      </c>
      <c r="I650" s="5" t="s">
        <v>639</v>
      </c>
      <c r="J650" s="5" t="s">
        <v>640</v>
      </c>
      <c r="K650" s="5" t="s">
        <v>37</v>
      </c>
      <c r="L650" s="5" t="s">
        <v>3587</v>
      </c>
      <c r="M650" s="5" t="s">
        <v>3587</v>
      </c>
      <c r="N650" s="5" t="s">
        <v>3000</v>
      </c>
      <c r="O650" s="5" t="s">
        <v>3000</v>
      </c>
      <c r="P650" s="5" t="s">
        <v>3588</v>
      </c>
      <c r="Q650" s="5" t="s">
        <v>1826</v>
      </c>
      <c r="R650" s="5" t="s">
        <v>3587</v>
      </c>
      <c r="S650" s="5" t="s">
        <v>3589</v>
      </c>
      <c r="T650" s="5" t="s">
        <v>94</v>
      </c>
      <c r="U650" s="5"/>
      <c r="V650" s="5"/>
      <c r="W650" s="5"/>
      <c r="X650" s="5"/>
      <c r="Y650" s="5"/>
      <c r="Z650" s="5"/>
      <c r="AA650" s="5">
        <v>68000</v>
      </c>
      <c r="AB650" s="5">
        <v>5000</v>
      </c>
      <c r="AC650" s="6">
        <v>42984</v>
      </c>
      <c r="AD650" s="5" t="s">
        <v>42</v>
      </c>
      <c r="AE650" s="5" t="s">
        <v>3590</v>
      </c>
      <c r="AF650" s="5">
        <v>0</v>
      </c>
    </row>
    <row r="651" spans="1:32" ht="27.95" x14ac:dyDescent="0.3">
      <c r="A651" s="3">
        <v>645</v>
      </c>
      <c r="B651" s="3" t="str">
        <f>"201900112466"</f>
        <v>201900112466</v>
      </c>
      <c r="C651" s="3" t="str">
        <f>"8695"</f>
        <v>8695</v>
      </c>
      <c r="D651" s="3" t="s">
        <v>3591</v>
      </c>
      <c r="E651" s="3">
        <v>20604876622</v>
      </c>
      <c r="F651" s="3" t="s">
        <v>3592</v>
      </c>
      <c r="G651" s="3" t="s">
        <v>3593</v>
      </c>
      <c r="H651" s="3" t="s">
        <v>36</v>
      </c>
      <c r="I651" s="3" t="s">
        <v>409</v>
      </c>
      <c r="J651" s="3" t="s">
        <v>738</v>
      </c>
      <c r="K651" s="3" t="s">
        <v>37</v>
      </c>
      <c r="L651" s="3" t="s">
        <v>3594</v>
      </c>
      <c r="M651" s="3" t="s">
        <v>3595</v>
      </c>
      <c r="N651" s="3" t="s">
        <v>78</v>
      </c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>
        <v>9738</v>
      </c>
      <c r="AB651" s="3">
        <v>3200</v>
      </c>
      <c r="AC651" s="4">
        <v>43663</v>
      </c>
      <c r="AD651" s="3" t="s">
        <v>42</v>
      </c>
      <c r="AE651" s="3" t="s">
        <v>3596</v>
      </c>
      <c r="AF651" s="3">
        <v>720</v>
      </c>
    </row>
    <row r="652" spans="1:32" x14ac:dyDescent="0.3">
      <c r="A652" s="5">
        <v>646</v>
      </c>
      <c r="B652" s="5" t="str">
        <f>"201700159401"</f>
        <v>201700159401</v>
      </c>
      <c r="C652" s="5" t="str">
        <f>"9050"</f>
        <v>9050</v>
      </c>
      <c r="D652" s="5" t="s">
        <v>3597</v>
      </c>
      <c r="E652" s="5">
        <v>20251295809</v>
      </c>
      <c r="F652" s="5" t="s">
        <v>3598</v>
      </c>
      <c r="G652" s="5" t="s">
        <v>3599</v>
      </c>
      <c r="H652" s="5" t="s">
        <v>108</v>
      </c>
      <c r="I652" s="5" t="s">
        <v>144</v>
      </c>
      <c r="J652" s="5" t="s">
        <v>145</v>
      </c>
      <c r="K652" s="5" t="s">
        <v>37</v>
      </c>
      <c r="L652" s="5" t="s">
        <v>1844</v>
      </c>
      <c r="M652" s="5" t="s">
        <v>3600</v>
      </c>
      <c r="N652" s="5" t="s">
        <v>110</v>
      </c>
      <c r="O652" s="5" t="s">
        <v>3601</v>
      </c>
      <c r="P652" s="5" t="s">
        <v>3602</v>
      </c>
      <c r="Q652" s="5" t="s">
        <v>94</v>
      </c>
      <c r="R652" s="5"/>
      <c r="S652" s="5"/>
      <c r="T652" s="5"/>
      <c r="U652" s="5"/>
      <c r="V652" s="5"/>
      <c r="W652" s="5"/>
      <c r="X652" s="5"/>
      <c r="Y652" s="5"/>
      <c r="Z652" s="5"/>
      <c r="AA652" s="5">
        <v>21750</v>
      </c>
      <c r="AB652" s="5">
        <v>5000</v>
      </c>
      <c r="AC652" s="6">
        <v>43012</v>
      </c>
      <c r="AD652" s="5" t="s">
        <v>42</v>
      </c>
      <c r="AE652" s="5" t="s">
        <v>3603</v>
      </c>
      <c r="AF652" s="5">
        <v>0</v>
      </c>
    </row>
    <row r="653" spans="1:32" ht="27.95" x14ac:dyDescent="0.3">
      <c r="A653" s="3">
        <v>647</v>
      </c>
      <c r="B653" s="3" t="str">
        <f>"201900141155"</f>
        <v>201900141155</v>
      </c>
      <c r="C653" s="3" t="str">
        <f>"96520"</f>
        <v>96520</v>
      </c>
      <c r="D653" s="3" t="s">
        <v>3604</v>
      </c>
      <c r="E653" s="3">
        <v>20601490103</v>
      </c>
      <c r="F653" s="3" t="s">
        <v>3605</v>
      </c>
      <c r="G653" s="3" t="s">
        <v>3606</v>
      </c>
      <c r="H653" s="3" t="s">
        <v>58</v>
      </c>
      <c r="I653" s="3" t="s">
        <v>58</v>
      </c>
      <c r="J653" s="3" t="s">
        <v>1267</v>
      </c>
      <c r="K653" s="3" t="s">
        <v>37</v>
      </c>
      <c r="L653" s="3" t="s">
        <v>3607</v>
      </c>
      <c r="M653" s="3" t="s">
        <v>62</v>
      </c>
      <c r="N653" s="3" t="s">
        <v>248</v>
      </c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>
        <v>10000</v>
      </c>
      <c r="AB653" s="3">
        <v>3000</v>
      </c>
      <c r="AC653" s="4">
        <v>43732</v>
      </c>
      <c r="AD653" s="3" t="s">
        <v>42</v>
      </c>
      <c r="AE653" s="3" t="s">
        <v>3608</v>
      </c>
      <c r="AF653" s="3">
        <v>0</v>
      </c>
    </row>
    <row r="654" spans="1:32" ht="27.95" x14ac:dyDescent="0.3">
      <c r="A654" s="5">
        <v>648</v>
      </c>
      <c r="B654" s="5" t="str">
        <f>"201700091144"</f>
        <v>201700091144</v>
      </c>
      <c r="C654" s="5" t="str">
        <f>"129333"</f>
        <v>129333</v>
      </c>
      <c r="D654" s="5" t="s">
        <v>3609</v>
      </c>
      <c r="E654" s="5">
        <v>20600818661</v>
      </c>
      <c r="F654" s="5" t="s">
        <v>3610</v>
      </c>
      <c r="G654" s="5" t="s">
        <v>3611</v>
      </c>
      <c r="H654" s="5" t="s">
        <v>47</v>
      </c>
      <c r="I654" s="5" t="s">
        <v>1395</v>
      </c>
      <c r="J654" s="5" t="s">
        <v>1395</v>
      </c>
      <c r="K654" s="5" t="s">
        <v>37</v>
      </c>
      <c r="L654" s="5" t="s">
        <v>72</v>
      </c>
      <c r="M654" s="5" t="s">
        <v>3612</v>
      </c>
      <c r="N654" s="5" t="s">
        <v>94</v>
      </c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>
        <v>16000</v>
      </c>
      <c r="AB654" s="5">
        <v>5000</v>
      </c>
      <c r="AC654" s="6">
        <v>42901</v>
      </c>
      <c r="AD654" s="5" t="s">
        <v>42</v>
      </c>
      <c r="AE654" s="5" t="s">
        <v>3613</v>
      </c>
      <c r="AF654" s="5">
        <v>0</v>
      </c>
    </row>
    <row r="655" spans="1:32" ht="27.95" x14ac:dyDescent="0.3">
      <c r="A655" s="3">
        <v>649</v>
      </c>
      <c r="B655" s="3" t="str">
        <f>"201700220214"</f>
        <v>201700220214</v>
      </c>
      <c r="C655" s="3" t="str">
        <f>"8872"</f>
        <v>8872</v>
      </c>
      <c r="D655" s="3" t="s">
        <v>3614</v>
      </c>
      <c r="E655" s="3">
        <v>20482172904</v>
      </c>
      <c r="F655" s="3" t="s">
        <v>1727</v>
      </c>
      <c r="G655" s="3" t="s">
        <v>3615</v>
      </c>
      <c r="H655" s="3" t="s">
        <v>219</v>
      </c>
      <c r="I655" s="3" t="s">
        <v>220</v>
      </c>
      <c r="J655" s="3" t="s">
        <v>908</v>
      </c>
      <c r="K655" s="3" t="s">
        <v>37</v>
      </c>
      <c r="L655" s="3" t="s">
        <v>527</v>
      </c>
      <c r="M655" s="3" t="s">
        <v>3616</v>
      </c>
      <c r="N655" s="3" t="s">
        <v>1851</v>
      </c>
      <c r="O655" s="3" t="s">
        <v>3442</v>
      </c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>
        <v>7600</v>
      </c>
      <c r="AB655" s="3">
        <v>3500</v>
      </c>
      <c r="AC655" s="4">
        <v>43103</v>
      </c>
      <c r="AD655" s="3" t="s">
        <v>42</v>
      </c>
      <c r="AE655" s="3" t="s">
        <v>3617</v>
      </c>
      <c r="AF655" s="3">
        <v>0</v>
      </c>
    </row>
    <row r="656" spans="1:32" x14ac:dyDescent="0.3">
      <c r="A656" s="5">
        <v>650</v>
      </c>
      <c r="B656" s="5" t="str">
        <f>"201800004055"</f>
        <v>201800004055</v>
      </c>
      <c r="C656" s="5" t="str">
        <f>"21142"</f>
        <v>21142</v>
      </c>
      <c r="D656" s="5" t="s">
        <v>3618</v>
      </c>
      <c r="E656" s="5">
        <v>20486100487</v>
      </c>
      <c r="F656" s="5" t="s">
        <v>3185</v>
      </c>
      <c r="G656" s="5" t="s">
        <v>3619</v>
      </c>
      <c r="H656" s="5" t="s">
        <v>108</v>
      </c>
      <c r="I656" s="5" t="s">
        <v>647</v>
      </c>
      <c r="J656" s="5" t="s">
        <v>1117</v>
      </c>
      <c r="K656" s="5" t="s">
        <v>37</v>
      </c>
      <c r="L656" s="5" t="s">
        <v>51</v>
      </c>
      <c r="M656" s="5" t="s">
        <v>50</v>
      </c>
      <c r="N656" s="5" t="s">
        <v>102</v>
      </c>
      <c r="O656" s="5" t="s">
        <v>102</v>
      </c>
      <c r="P656" s="5" t="s">
        <v>94</v>
      </c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>
        <v>20000</v>
      </c>
      <c r="AB656" s="5">
        <v>5000</v>
      </c>
      <c r="AC656" s="6">
        <v>43122</v>
      </c>
      <c r="AD656" s="5" t="s">
        <v>42</v>
      </c>
      <c r="AE656" s="5" t="s">
        <v>1643</v>
      </c>
      <c r="AF656" s="5">
        <v>0</v>
      </c>
    </row>
    <row r="657" spans="1:32" ht="27.95" x14ac:dyDescent="0.3">
      <c r="A657" s="3">
        <v>651</v>
      </c>
      <c r="B657" s="3" t="str">
        <f>"201900070529"</f>
        <v>201900070529</v>
      </c>
      <c r="C657" s="3" t="str">
        <f>"18851"</f>
        <v>18851</v>
      </c>
      <c r="D657" s="3" t="s">
        <v>3620</v>
      </c>
      <c r="E657" s="3">
        <v>20315622523</v>
      </c>
      <c r="F657" s="3" t="s">
        <v>3621</v>
      </c>
      <c r="G657" s="3" t="s">
        <v>3622</v>
      </c>
      <c r="H657" s="3" t="s">
        <v>219</v>
      </c>
      <c r="I657" s="3" t="s">
        <v>283</v>
      </c>
      <c r="J657" s="3" t="s">
        <v>3623</v>
      </c>
      <c r="K657" s="3" t="s">
        <v>37</v>
      </c>
      <c r="L657" s="3" t="s">
        <v>3624</v>
      </c>
      <c r="M657" s="3" t="s">
        <v>232</v>
      </c>
      <c r="N657" s="3" t="s">
        <v>398</v>
      </c>
      <c r="O657" s="3" t="s">
        <v>63</v>
      </c>
      <c r="P657" s="3" t="s">
        <v>72</v>
      </c>
      <c r="Q657" s="3" t="s">
        <v>94</v>
      </c>
      <c r="R657" s="3"/>
      <c r="S657" s="3"/>
      <c r="T657" s="3"/>
      <c r="U657" s="3"/>
      <c r="V657" s="3"/>
      <c r="W657" s="3"/>
      <c r="X657" s="3"/>
      <c r="Y657" s="3"/>
      <c r="Z657" s="3"/>
      <c r="AA657" s="3">
        <v>35000</v>
      </c>
      <c r="AB657" s="3">
        <v>5000</v>
      </c>
      <c r="AC657" s="4">
        <v>43599</v>
      </c>
      <c r="AD657" s="3" t="s">
        <v>42</v>
      </c>
      <c r="AE657" s="3" t="s">
        <v>286</v>
      </c>
      <c r="AF657" s="3">
        <v>0</v>
      </c>
    </row>
    <row r="658" spans="1:32" ht="27.95" x14ac:dyDescent="0.3">
      <c r="A658" s="5">
        <v>652</v>
      </c>
      <c r="B658" s="5" t="str">
        <f>"201600118886"</f>
        <v>201600118886</v>
      </c>
      <c r="C658" s="5" t="str">
        <f>"31936"</f>
        <v>31936</v>
      </c>
      <c r="D658" s="5" t="s">
        <v>3625</v>
      </c>
      <c r="E658" s="5">
        <v>20458378747</v>
      </c>
      <c r="F658" s="5" t="s">
        <v>680</v>
      </c>
      <c r="G658" s="5" t="s">
        <v>3626</v>
      </c>
      <c r="H658" s="5" t="s">
        <v>36</v>
      </c>
      <c r="I658" s="5" t="s">
        <v>409</v>
      </c>
      <c r="J658" s="5" t="s">
        <v>410</v>
      </c>
      <c r="K658" s="5" t="s">
        <v>37</v>
      </c>
      <c r="L658" s="5" t="s">
        <v>368</v>
      </c>
      <c r="M658" s="5" t="s">
        <v>238</v>
      </c>
      <c r="N658" s="5" t="s">
        <v>570</v>
      </c>
      <c r="O658" s="5" t="s">
        <v>78</v>
      </c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>
        <v>7500</v>
      </c>
      <c r="AB658" s="5">
        <v>3200</v>
      </c>
      <c r="AC658" s="6">
        <v>42613</v>
      </c>
      <c r="AD658" s="5" t="s">
        <v>42</v>
      </c>
      <c r="AE658" s="5" t="s">
        <v>685</v>
      </c>
      <c r="AF658" s="5">
        <v>0</v>
      </c>
    </row>
    <row r="659" spans="1:32" x14ac:dyDescent="0.3">
      <c r="A659" s="3">
        <v>653</v>
      </c>
      <c r="B659" s="3" t="str">
        <f>"202000056480"</f>
        <v>202000056480</v>
      </c>
      <c r="C659" s="3" t="str">
        <f>"140452"</f>
        <v>140452</v>
      </c>
      <c r="D659" s="3" t="s">
        <v>3627</v>
      </c>
      <c r="E659" s="3">
        <v>20603162383</v>
      </c>
      <c r="F659" s="3" t="s">
        <v>3628</v>
      </c>
      <c r="G659" s="3" t="s">
        <v>3629</v>
      </c>
      <c r="H659" s="3" t="s">
        <v>187</v>
      </c>
      <c r="I659" s="3" t="s">
        <v>2570</v>
      </c>
      <c r="J659" s="3" t="s">
        <v>2571</v>
      </c>
      <c r="K659" s="3" t="s">
        <v>37</v>
      </c>
      <c r="L659" s="3" t="s">
        <v>72</v>
      </c>
      <c r="M659" s="3" t="s">
        <v>51</v>
      </c>
      <c r="N659" s="3" t="s">
        <v>51</v>
      </c>
      <c r="O659" s="3" t="s">
        <v>76</v>
      </c>
      <c r="P659" s="3" t="s">
        <v>296</v>
      </c>
      <c r="Q659" s="3" t="s">
        <v>3630</v>
      </c>
      <c r="R659" s="3"/>
      <c r="S659" s="3"/>
      <c r="T659" s="3"/>
      <c r="U659" s="3"/>
      <c r="V659" s="3"/>
      <c r="W659" s="3"/>
      <c r="X659" s="3"/>
      <c r="Y659" s="3"/>
      <c r="Z659" s="3"/>
      <c r="AA659" s="3">
        <v>22000</v>
      </c>
      <c r="AB659" s="3">
        <v>6250</v>
      </c>
      <c r="AC659" s="4">
        <v>43965</v>
      </c>
      <c r="AD659" s="3" t="s">
        <v>42</v>
      </c>
      <c r="AE659" s="3" t="s">
        <v>3631</v>
      </c>
      <c r="AF659" s="3">
        <v>720</v>
      </c>
    </row>
    <row r="660" spans="1:32" ht="27.95" x14ac:dyDescent="0.3">
      <c r="A660" s="5">
        <v>654</v>
      </c>
      <c r="B660" s="5" t="str">
        <f>"201600116745"</f>
        <v>201600116745</v>
      </c>
      <c r="C660" s="5" t="str">
        <f>"122362"</f>
        <v>122362</v>
      </c>
      <c r="D660" s="5" t="s">
        <v>3632</v>
      </c>
      <c r="E660" s="5">
        <v>20600576161</v>
      </c>
      <c r="F660" s="5" t="s">
        <v>3633</v>
      </c>
      <c r="G660" s="5" t="s">
        <v>3634</v>
      </c>
      <c r="H660" s="5" t="s">
        <v>58</v>
      </c>
      <c r="I660" s="5" t="s">
        <v>823</v>
      </c>
      <c r="J660" s="5" t="s">
        <v>824</v>
      </c>
      <c r="K660" s="5" t="s">
        <v>37</v>
      </c>
      <c r="L660" s="5" t="s">
        <v>63</v>
      </c>
      <c r="M660" s="5" t="s">
        <v>1016</v>
      </c>
      <c r="N660" s="5" t="s">
        <v>78</v>
      </c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>
        <v>16000</v>
      </c>
      <c r="AB660" s="5">
        <v>3200</v>
      </c>
      <c r="AC660" s="6">
        <v>42600</v>
      </c>
      <c r="AD660" s="5" t="s">
        <v>42</v>
      </c>
      <c r="AE660" s="5" t="s">
        <v>3635</v>
      </c>
      <c r="AF660" s="5">
        <v>0</v>
      </c>
    </row>
    <row r="661" spans="1:32" ht="27.95" x14ac:dyDescent="0.3">
      <c r="A661" s="3">
        <v>655</v>
      </c>
      <c r="B661" s="3" t="str">
        <f>"201800119124"</f>
        <v>201800119124</v>
      </c>
      <c r="C661" s="3" t="str">
        <f>"37334"</f>
        <v>37334</v>
      </c>
      <c r="D661" s="3" t="s">
        <v>3636</v>
      </c>
      <c r="E661" s="3">
        <v>20507463305</v>
      </c>
      <c r="F661" s="3" t="s">
        <v>3637</v>
      </c>
      <c r="G661" s="3" t="s">
        <v>3638</v>
      </c>
      <c r="H661" s="3" t="s">
        <v>58</v>
      </c>
      <c r="I661" s="3" t="s">
        <v>58</v>
      </c>
      <c r="J661" s="3" t="s">
        <v>403</v>
      </c>
      <c r="K661" s="3" t="s">
        <v>37</v>
      </c>
      <c r="L661" s="3" t="s">
        <v>3639</v>
      </c>
      <c r="M661" s="3" t="s">
        <v>2118</v>
      </c>
      <c r="N661" s="3" t="s">
        <v>66</v>
      </c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>
        <v>8000</v>
      </c>
      <c r="AB661" s="3">
        <v>4500</v>
      </c>
      <c r="AC661" s="4">
        <v>43304</v>
      </c>
      <c r="AD661" s="3" t="s">
        <v>42</v>
      </c>
      <c r="AE661" s="3" t="s">
        <v>3640</v>
      </c>
      <c r="AF661" s="3">
        <v>0</v>
      </c>
    </row>
    <row r="662" spans="1:32" ht="27.95" x14ac:dyDescent="0.3">
      <c r="A662" s="5">
        <v>656</v>
      </c>
      <c r="B662" s="5" t="str">
        <f>"201900193270"</f>
        <v>201900193270</v>
      </c>
      <c r="C662" s="5" t="str">
        <f>"109567"</f>
        <v>109567</v>
      </c>
      <c r="D662" s="5" t="s">
        <v>3641</v>
      </c>
      <c r="E662" s="5">
        <v>20100111838</v>
      </c>
      <c r="F662" s="5" t="s">
        <v>3642</v>
      </c>
      <c r="G662" s="5" t="s">
        <v>3643</v>
      </c>
      <c r="H662" s="5" t="s">
        <v>116</v>
      </c>
      <c r="I662" s="5" t="s">
        <v>339</v>
      </c>
      <c r="J662" s="5" t="s">
        <v>340</v>
      </c>
      <c r="K662" s="5" t="s">
        <v>37</v>
      </c>
      <c r="L662" s="5" t="s">
        <v>3644</v>
      </c>
      <c r="M662" s="5" t="s">
        <v>3645</v>
      </c>
      <c r="N662" s="5" t="s">
        <v>3646</v>
      </c>
      <c r="O662" s="5" t="s">
        <v>3647</v>
      </c>
      <c r="P662" s="5" t="s">
        <v>94</v>
      </c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>
        <v>20262</v>
      </c>
      <c r="AB662" s="5">
        <v>5000</v>
      </c>
      <c r="AC662" s="6">
        <v>43796</v>
      </c>
      <c r="AD662" s="5" t="s">
        <v>42</v>
      </c>
      <c r="AE662" s="5" t="s">
        <v>2781</v>
      </c>
      <c r="AF662" s="5">
        <v>720</v>
      </c>
    </row>
    <row r="663" spans="1:32" x14ac:dyDescent="0.3">
      <c r="A663" s="3">
        <v>657</v>
      </c>
      <c r="B663" s="3" t="str">
        <f>"201800004060"</f>
        <v>201800004060</v>
      </c>
      <c r="C663" s="3" t="str">
        <f>"17912"</f>
        <v>17912</v>
      </c>
      <c r="D663" s="3" t="s">
        <v>3648</v>
      </c>
      <c r="E663" s="3">
        <v>20600203887</v>
      </c>
      <c r="F663" s="3" t="s">
        <v>2385</v>
      </c>
      <c r="G663" s="3" t="s">
        <v>3649</v>
      </c>
      <c r="H663" s="3" t="s">
        <v>108</v>
      </c>
      <c r="I663" s="3" t="s">
        <v>647</v>
      </c>
      <c r="J663" s="3" t="s">
        <v>1117</v>
      </c>
      <c r="K663" s="3" t="s">
        <v>37</v>
      </c>
      <c r="L663" s="3" t="s">
        <v>171</v>
      </c>
      <c r="M663" s="3" t="s">
        <v>174</v>
      </c>
      <c r="N663" s="3" t="s">
        <v>172</v>
      </c>
      <c r="O663" s="3" t="s">
        <v>94</v>
      </c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>
        <v>12000</v>
      </c>
      <c r="AB663" s="3">
        <v>5000</v>
      </c>
      <c r="AC663" s="4">
        <v>43111</v>
      </c>
      <c r="AD663" s="3" t="s">
        <v>42</v>
      </c>
      <c r="AE663" s="3" t="s">
        <v>1643</v>
      </c>
      <c r="AF663" s="3">
        <v>0</v>
      </c>
    </row>
    <row r="664" spans="1:32" ht="27.95" x14ac:dyDescent="0.3">
      <c r="A664" s="5">
        <v>658</v>
      </c>
      <c r="B664" s="5" t="str">
        <f>"201900006457"</f>
        <v>201900006457</v>
      </c>
      <c r="C664" s="5" t="str">
        <f>"7347"</f>
        <v>7347</v>
      </c>
      <c r="D664" s="5" t="s">
        <v>3650</v>
      </c>
      <c r="E664" s="5">
        <v>20497746648</v>
      </c>
      <c r="F664" s="5" t="s">
        <v>3651</v>
      </c>
      <c r="G664" s="5" t="s">
        <v>3652</v>
      </c>
      <c r="H664" s="5" t="s">
        <v>89</v>
      </c>
      <c r="I664" s="5" t="s">
        <v>89</v>
      </c>
      <c r="J664" s="5" t="s">
        <v>89</v>
      </c>
      <c r="K664" s="5" t="s">
        <v>37</v>
      </c>
      <c r="L664" s="5" t="s">
        <v>524</v>
      </c>
      <c r="M664" s="5" t="s">
        <v>3653</v>
      </c>
      <c r="N664" s="5" t="s">
        <v>3654</v>
      </c>
      <c r="O664" s="5" t="s">
        <v>1313</v>
      </c>
      <c r="P664" s="5" t="s">
        <v>248</v>
      </c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19900</v>
      </c>
      <c r="AB664" s="5">
        <v>3000</v>
      </c>
      <c r="AC664" s="6">
        <v>43478</v>
      </c>
      <c r="AD664" s="5" t="s">
        <v>42</v>
      </c>
      <c r="AE664" s="5" t="s">
        <v>3655</v>
      </c>
      <c r="AF664" s="5">
        <v>0</v>
      </c>
    </row>
    <row r="665" spans="1:32" ht="27.95" x14ac:dyDescent="0.3">
      <c r="A665" s="3">
        <v>659</v>
      </c>
      <c r="B665" s="3" t="str">
        <f>"201700129540"</f>
        <v>201700129540</v>
      </c>
      <c r="C665" s="3" t="str">
        <f>"61860"</f>
        <v>61860</v>
      </c>
      <c r="D665" s="3" t="s">
        <v>3656</v>
      </c>
      <c r="E665" s="3">
        <v>20516903113</v>
      </c>
      <c r="F665" s="3" t="s">
        <v>1967</v>
      </c>
      <c r="G665" s="3" t="s">
        <v>3657</v>
      </c>
      <c r="H665" s="3" t="s">
        <v>36</v>
      </c>
      <c r="I665" s="3" t="s">
        <v>409</v>
      </c>
      <c r="J665" s="3" t="s">
        <v>410</v>
      </c>
      <c r="K665" s="3" t="s">
        <v>37</v>
      </c>
      <c r="L665" s="3" t="s">
        <v>102</v>
      </c>
      <c r="M665" s="3" t="s">
        <v>3658</v>
      </c>
      <c r="N665" s="3" t="s">
        <v>54</v>
      </c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>
        <v>9500</v>
      </c>
      <c r="AB665" s="3">
        <v>4000</v>
      </c>
      <c r="AC665" s="4">
        <v>42970</v>
      </c>
      <c r="AD665" s="3" t="s">
        <v>42</v>
      </c>
      <c r="AE665" s="3" t="s">
        <v>3659</v>
      </c>
      <c r="AF665" s="3">
        <v>720</v>
      </c>
    </row>
    <row r="666" spans="1:32" ht="27.95" x14ac:dyDescent="0.3">
      <c r="A666" s="5">
        <v>660</v>
      </c>
      <c r="B666" s="5" t="str">
        <f>"201800129799"</f>
        <v>201800129799</v>
      </c>
      <c r="C666" s="5" t="str">
        <f>"137905"</f>
        <v>137905</v>
      </c>
      <c r="D666" s="5" t="s">
        <v>3660</v>
      </c>
      <c r="E666" s="5">
        <v>20480040750</v>
      </c>
      <c r="F666" s="5" t="s">
        <v>3661</v>
      </c>
      <c r="G666" s="5" t="s">
        <v>3662</v>
      </c>
      <c r="H666" s="5" t="s">
        <v>36</v>
      </c>
      <c r="I666" s="5" t="s">
        <v>409</v>
      </c>
      <c r="J666" s="5" t="s">
        <v>409</v>
      </c>
      <c r="K666" s="5" t="s">
        <v>37</v>
      </c>
      <c r="L666" s="5" t="s">
        <v>2028</v>
      </c>
      <c r="M666" s="5" t="s">
        <v>2028</v>
      </c>
      <c r="N666" s="5" t="s">
        <v>3663</v>
      </c>
      <c r="O666" s="5" t="s">
        <v>3664</v>
      </c>
      <c r="P666" s="5" t="s">
        <v>94</v>
      </c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>
        <v>14000</v>
      </c>
      <c r="AB666" s="5">
        <v>5000</v>
      </c>
      <c r="AC666" s="6">
        <v>43321</v>
      </c>
      <c r="AD666" s="5" t="s">
        <v>42</v>
      </c>
      <c r="AE666" s="5" t="s">
        <v>3665</v>
      </c>
      <c r="AF666" s="5">
        <v>0</v>
      </c>
    </row>
    <row r="667" spans="1:32" ht="27.95" x14ac:dyDescent="0.3">
      <c r="A667" s="3">
        <v>661</v>
      </c>
      <c r="B667" s="3" t="str">
        <f>"202000091966"</f>
        <v>202000091966</v>
      </c>
      <c r="C667" s="3" t="str">
        <f>"84666"</f>
        <v>84666</v>
      </c>
      <c r="D667" s="3" t="s">
        <v>3666</v>
      </c>
      <c r="E667" s="3">
        <v>20605443576</v>
      </c>
      <c r="F667" s="3" t="s">
        <v>3667</v>
      </c>
      <c r="G667" s="3" t="s">
        <v>3668</v>
      </c>
      <c r="H667" s="3" t="s">
        <v>36</v>
      </c>
      <c r="I667" s="3" t="s">
        <v>409</v>
      </c>
      <c r="J667" s="3" t="s">
        <v>409</v>
      </c>
      <c r="K667" s="3" t="s">
        <v>37</v>
      </c>
      <c r="L667" s="3" t="s">
        <v>102</v>
      </c>
      <c r="M667" s="3" t="s">
        <v>51</v>
      </c>
      <c r="N667" s="3" t="s">
        <v>3260</v>
      </c>
      <c r="O667" s="3" t="s">
        <v>54</v>
      </c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>
        <v>15000</v>
      </c>
      <c r="AB667" s="3">
        <v>4000</v>
      </c>
      <c r="AC667" s="4">
        <v>44069</v>
      </c>
      <c r="AD667" s="3" t="s">
        <v>42</v>
      </c>
      <c r="AE667" s="3" t="s">
        <v>1401</v>
      </c>
      <c r="AF667" s="3">
        <v>0</v>
      </c>
    </row>
    <row r="668" spans="1:32" x14ac:dyDescent="0.3">
      <c r="A668" s="5">
        <v>662</v>
      </c>
      <c r="B668" s="5" t="str">
        <f>"201900049973"</f>
        <v>201900049973</v>
      </c>
      <c r="C668" s="5" t="str">
        <f>"15409"</f>
        <v>15409</v>
      </c>
      <c r="D668" s="5" t="s">
        <v>3669</v>
      </c>
      <c r="E668" s="5">
        <v>20127765279</v>
      </c>
      <c r="F668" s="5" t="s">
        <v>1115</v>
      </c>
      <c r="G668" s="5" t="s">
        <v>3670</v>
      </c>
      <c r="H668" s="5" t="s">
        <v>219</v>
      </c>
      <c r="I668" s="5" t="s">
        <v>1365</v>
      </c>
      <c r="J668" s="5" t="s">
        <v>1365</v>
      </c>
      <c r="K668" s="5" t="s">
        <v>37</v>
      </c>
      <c r="L668" s="5" t="s">
        <v>63</v>
      </c>
      <c r="M668" s="5" t="s">
        <v>63</v>
      </c>
      <c r="N668" s="5" t="s">
        <v>262</v>
      </c>
      <c r="O668" s="5" t="s">
        <v>161</v>
      </c>
      <c r="P668" s="5" t="s">
        <v>263</v>
      </c>
      <c r="Q668" s="5" t="s">
        <v>398</v>
      </c>
      <c r="R668" s="5" t="s">
        <v>3411</v>
      </c>
      <c r="S668" s="5"/>
      <c r="T668" s="5"/>
      <c r="U668" s="5"/>
      <c r="V668" s="5"/>
      <c r="W668" s="5"/>
      <c r="X668" s="5"/>
      <c r="Y668" s="5"/>
      <c r="Z668" s="5"/>
      <c r="AA668" s="5">
        <v>33000</v>
      </c>
      <c r="AB668" s="5">
        <v>4200</v>
      </c>
      <c r="AC668" s="6">
        <v>43553</v>
      </c>
      <c r="AD668" s="5" t="s">
        <v>42</v>
      </c>
      <c r="AE668" s="5" t="s">
        <v>279</v>
      </c>
      <c r="AF668" s="5">
        <v>0</v>
      </c>
    </row>
    <row r="669" spans="1:32" ht="27.95" x14ac:dyDescent="0.3">
      <c r="A669" s="3">
        <v>663</v>
      </c>
      <c r="B669" s="3" t="str">
        <f>"202000135809"</f>
        <v>202000135809</v>
      </c>
      <c r="C669" s="3" t="str">
        <f>"19899"</f>
        <v>19899</v>
      </c>
      <c r="D669" s="3" t="s">
        <v>3671</v>
      </c>
      <c r="E669" s="3">
        <v>20127765279</v>
      </c>
      <c r="F669" s="3" t="s">
        <v>1115</v>
      </c>
      <c r="G669" s="3" t="s">
        <v>3672</v>
      </c>
      <c r="H669" s="3" t="s">
        <v>108</v>
      </c>
      <c r="I669" s="3" t="s">
        <v>1468</v>
      </c>
      <c r="J669" s="3" t="s">
        <v>1468</v>
      </c>
      <c r="K669" s="3" t="s">
        <v>37</v>
      </c>
      <c r="L669" s="3" t="s">
        <v>3673</v>
      </c>
      <c r="M669" s="3" t="s">
        <v>72</v>
      </c>
      <c r="N669" s="3" t="s">
        <v>72</v>
      </c>
      <c r="O669" s="3" t="s">
        <v>60</v>
      </c>
      <c r="P669" s="3" t="s">
        <v>61</v>
      </c>
      <c r="Q669" s="3" t="s">
        <v>347</v>
      </c>
      <c r="R669" s="3"/>
      <c r="S669" s="3"/>
      <c r="T669" s="3"/>
      <c r="U669" s="3"/>
      <c r="V669" s="3"/>
      <c r="W669" s="3"/>
      <c r="X669" s="3"/>
      <c r="Y669" s="3"/>
      <c r="Z669" s="3"/>
      <c r="AA669" s="3">
        <v>40000</v>
      </c>
      <c r="AB669" s="3">
        <v>3100</v>
      </c>
      <c r="AC669" s="4">
        <v>44110</v>
      </c>
      <c r="AD669" s="3" t="s">
        <v>42</v>
      </c>
      <c r="AE669" s="3" t="s">
        <v>3674</v>
      </c>
      <c r="AF669" s="3">
        <v>0</v>
      </c>
    </row>
    <row r="670" spans="1:32" ht="27.95" x14ac:dyDescent="0.3">
      <c r="A670" s="5">
        <v>664</v>
      </c>
      <c r="B670" s="5" t="str">
        <f>"201700165861"</f>
        <v>201700165861</v>
      </c>
      <c r="C670" s="5" t="str">
        <f>"132218"</f>
        <v>132218</v>
      </c>
      <c r="D670" s="5" t="s">
        <v>3675</v>
      </c>
      <c r="E670" s="5">
        <v>20600821505</v>
      </c>
      <c r="F670" s="5" t="s">
        <v>3676</v>
      </c>
      <c r="G670" s="5" t="s">
        <v>3677</v>
      </c>
      <c r="H670" s="5" t="s">
        <v>329</v>
      </c>
      <c r="I670" s="5" t="s">
        <v>329</v>
      </c>
      <c r="J670" s="5" t="s">
        <v>1546</v>
      </c>
      <c r="K670" s="5" t="s">
        <v>37</v>
      </c>
      <c r="L670" s="5" t="s">
        <v>166</v>
      </c>
      <c r="M670" s="5" t="s">
        <v>166</v>
      </c>
      <c r="N670" s="5" t="s">
        <v>3678</v>
      </c>
      <c r="O670" s="5" t="s">
        <v>3679</v>
      </c>
      <c r="P670" s="5" t="s">
        <v>2362</v>
      </c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>
        <v>30324</v>
      </c>
      <c r="AB670" s="5">
        <v>6500</v>
      </c>
      <c r="AC670" s="6">
        <v>43018</v>
      </c>
      <c r="AD670" s="5" t="s">
        <v>42</v>
      </c>
      <c r="AE670" s="5" t="s">
        <v>3680</v>
      </c>
      <c r="AF670" s="5">
        <v>0</v>
      </c>
    </row>
    <row r="671" spans="1:32" x14ac:dyDescent="0.3">
      <c r="A671" s="3">
        <v>665</v>
      </c>
      <c r="B671" s="3" t="str">
        <f>"201600154823"</f>
        <v>201600154823</v>
      </c>
      <c r="C671" s="3" t="str">
        <f>"7525"</f>
        <v>7525</v>
      </c>
      <c r="D671" s="3" t="s">
        <v>3681</v>
      </c>
      <c r="E671" s="3">
        <v>20513270390</v>
      </c>
      <c r="F671" s="3" t="s">
        <v>3682</v>
      </c>
      <c r="G671" s="3" t="s">
        <v>3683</v>
      </c>
      <c r="H671" s="3" t="s">
        <v>108</v>
      </c>
      <c r="I671" s="3" t="s">
        <v>647</v>
      </c>
      <c r="J671" s="3" t="s">
        <v>647</v>
      </c>
      <c r="K671" s="3" t="s">
        <v>37</v>
      </c>
      <c r="L671" s="3" t="s">
        <v>3684</v>
      </c>
      <c r="M671" s="3" t="s">
        <v>555</v>
      </c>
      <c r="N671" s="3" t="s">
        <v>174</v>
      </c>
      <c r="O671" s="3" t="s">
        <v>63</v>
      </c>
      <c r="P671" s="3" t="s">
        <v>775</v>
      </c>
      <c r="Q671" s="3" t="s">
        <v>775</v>
      </c>
      <c r="R671" s="3" t="s">
        <v>775</v>
      </c>
      <c r="S671" s="3" t="s">
        <v>775</v>
      </c>
      <c r="T671" s="3" t="s">
        <v>775</v>
      </c>
      <c r="U671" s="3" t="s">
        <v>94</v>
      </c>
      <c r="V671" s="3" t="s">
        <v>94</v>
      </c>
      <c r="W671" s="3"/>
      <c r="X671" s="3"/>
      <c r="Y671" s="3"/>
      <c r="Z671" s="3"/>
      <c r="AA671" s="3">
        <v>45000</v>
      </c>
      <c r="AB671" s="3">
        <v>10000</v>
      </c>
      <c r="AC671" s="4">
        <v>42683</v>
      </c>
      <c r="AD671" s="3" t="s">
        <v>42</v>
      </c>
      <c r="AE671" s="3" t="s">
        <v>3685</v>
      </c>
      <c r="AF671" s="3">
        <v>0</v>
      </c>
    </row>
    <row r="672" spans="1:32" ht="27.95" x14ac:dyDescent="0.3">
      <c r="A672" s="5">
        <v>666</v>
      </c>
      <c r="B672" s="5" t="str">
        <f>"201800053020"</f>
        <v>201800053020</v>
      </c>
      <c r="C672" s="5" t="str">
        <f>"21202"</f>
        <v>21202</v>
      </c>
      <c r="D672" s="5" t="s">
        <v>3686</v>
      </c>
      <c r="E672" s="5">
        <v>10089136844</v>
      </c>
      <c r="F672" s="5" t="s">
        <v>3687</v>
      </c>
      <c r="G672" s="5" t="s">
        <v>3688</v>
      </c>
      <c r="H672" s="5" t="s">
        <v>58</v>
      </c>
      <c r="I672" s="5" t="s">
        <v>58</v>
      </c>
      <c r="J672" s="5" t="s">
        <v>1756</v>
      </c>
      <c r="K672" s="5" t="s">
        <v>37</v>
      </c>
      <c r="L672" s="5" t="s">
        <v>380</v>
      </c>
      <c r="M672" s="5" t="s">
        <v>72</v>
      </c>
      <c r="N672" s="5" t="s">
        <v>78</v>
      </c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>
        <v>16000</v>
      </c>
      <c r="AB672" s="5">
        <v>3200</v>
      </c>
      <c r="AC672" s="6">
        <v>43189</v>
      </c>
      <c r="AD672" s="5" t="s">
        <v>42</v>
      </c>
      <c r="AE672" s="5" t="s">
        <v>3687</v>
      </c>
      <c r="AF672" s="5">
        <v>0</v>
      </c>
    </row>
    <row r="673" spans="1:32" ht="41.95" x14ac:dyDescent="0.3">
      <c r="A673" s="3">
        <v>667</v>
      </c>
      <c r="B673" s="3" t="str">
        <f>"201200025489"</f>
        <v>201200025489</v>
      </c>
      <c r="C673" s="3" t="str">
        <f>"16694"</f>
        <v>16694</v>
      </c>
      <c r="D673" s="3" t="s">
        <v>3689</v>
      </c>
      <c r="E673" s="3">
        <v>20298736820</v>
      </c>
      <c r="F673" s="3" t="s">
        <v>3690</v>
      </c>
      <c r="G673" s="3" t="s">
        <v>3691</v>
      </c>
      <c r="H673" s="3" t="s">
        <v>58</v>
      </c>
      <c r="I673" s="3" t="s">
        <v>58</v>
      </c>
      <c r="J673" s="3" t="s">
        <v>3583</v>
      </c>
      <c r="K673" s="3" t="s">
        <v>37</v>
      </c>
      <c r="L673" s="3" t="s">
        <v>743</v>
      </c>
      <c r="M673" s="3" t="s">
        <v>51</v>
      </c>
      <c r="N673" s="3" t="s">
        <v>102</v>
      </c>
      <c r="O673" s="3" t="s">
        <v>50</v>
      </c>
      <c r="P673" s="3" t="s">
        <v>381</v>
      </c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>
        <v>20000</v>
      </c>
      <c r="AB673" s="3">
        <v>2000</v>
      </c>
      <c r="AC673" s="4">
        <v>40967</v>
      </c>
      <c r="AD673" s="3" t="s">
        <v>42</v>
      </c>
      <c r="AE673" s="3" t="s">
        <v>3692</v>
      </c>
      <c r="AF673" s="3">
        <v>0</v>
      </c>
    </row>
    <row r="674" spans="1:32" x14ac:dyDescent="0.3">
      <c r="A674" s="5">
        <v>668</v>
      </c>
      <c r="B674" s="5" t="str">
        <f>"201600145743"</f>
        <v>201600145743</v>
      </c>
      <c r="C674" s="5" t="str">
        <f>"18471"</f>
        <v>18471</v>
      </c>
      <c r="D674" s="5" t="s">
        <v>3693</v>
      </c>
      <c r="E674" s="5">
        <v>20600168194</v>
      </c>
      <c r="F674" s="5" t="s">
        <v>3694</v>
      </c>
      <c r="G674" s="5" t="s">
        <v>3695</v>
      </c>
      <c r="H674" s="5" t="s">
        <v>47</v>
      </c>
      <c r="I674" s="5" t="s">
        <v>47</v>
      </c>
      <c r="J674" s="5" t="s">
        <v>2880</v>
      </c>
      <c r="K674" s="5" t="s">
        <v>37</v>
      </c>
      <c r="L674" s="5" t="s">
        <v>3696</v>
      </c>
      <c r="M674" s="5" t="s">
        <v>398</v>
      </c>
      <c r="N674" s="5" t="s">
        <v>398</v>
      </c>
      <c r="O674" s="5" t="s">
        <v>398</v>
      </c>
      <c r="P674" s="5" t="s">
        <v>51</v>
      </c>
      <c r="Q674" s="5" t="s">
        <v>50</v>
      </c>
      <c r="R674" s="5" t="s">
        <v>285</v>
      </c>
      <c r="S674" s="5" t="s">
        <v>1169</v>
      </c>
      <c r="T674" s="5" t="s">
        <v>72</v>
      </c>
      <c r="U674" s="5" t="s">
        <v>66</v>
      </c>
      <c r="V674" s="5"/>
      <c r="W674" s="5"/>
      <c r="X674" s="5"/>
      <c r="Y674" s="5"/>
      <c r="Z674" s="5"/>
      <c r="AA674" s="5">
        <v>46000</v>
      </c>
      <c r="AB674" s="5">
        <v>4500</v>
      </c>
      <c r="AC674" s="6">
        <v>42656</v>
      </c>
      <c r="AD674" s="5" t="s">
        <v>42</v>
      </c>
      <c r="AE674" s="5" t="s">
        <v>980</v>
      </c>
      <c r="AF674" s="5">
        <v>480</v>
      </c>
    </row>
    <row r="675" spans="1:32" ht="27.95" x14ac:dyDescent="0.3">
      <c r="A675" s="3">
        <v>669</v>
      </c>
      <c r="B675" s="3" t="str">
        <f>"201300178873"</f>
        <v>201300178873</v>
      </c>
      <c r="C675" s="3" t="str">
        <f>"61026"</f>
        <v>61026</v>
      </c>
      <c r="D675" s="3" t="s">
        <v>3697</v>
      </c>
      <c r="E675" s="3">
        <v>20517308367</v>
      </c>
      <c r="F675" s="3" t="s">
        <v>3698</v>
      </c>
      <c r="G675" s="3" t="s">
        <v>3699</v>
      </c>
      <c r="H675" s="3" t="s">
        <v>58</v>
      </c>
      <c r="I675" s="3" t="s">
        <v>58</v>
      </c>
      <c r="J675" s="3" t="s">
        <v>1091</v>
      </c>
      <c r="K675" s="3" t="s">
        <v>37</v>
      </c>
      <c r="L675" s="3" t="s">
        <v>3700</v>
      </c>
      <c r="M675" s="3" t="s">
        <v>3701</v>
      </c>
      <c r="N675" s="3" t="s">
        <v>3702</v>
      </c>
      <c r="O675" s="3" t="s">
        <v>3703</v>
      </c>
      <c r="P675" s="3" t="s">
        <v>78</v>
      </c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>
        <v>16588</v>
      </c>
      <c r="AB675" s="3">
        <v>3200</v>
      </c>
      <c r="AC675" s="4">
        <v>41599</v>
      </c>
      <c r="AD675" s="3" t="s">
        <v>42</v>
      </c>
      <c r="AE675" s="3" t="s">
        <v>3704</v>
      </c>
      <c r="AF675" s="3">
        <v>0</v>
      </c>
    </row>
    <row r="676" spans="1:32" ht="27.95" x14ac:dyDescent="0.3">
      <c r="A676" s="5">
        <v>670</v>
      </c>
      <c r="B676" s="5" t="str">
        <f>"201600076466"</f>
        <v>201600076466</v>
      </c>
      <c r="C676" s="5" t="str">
        <f>"39578"</f>
        <v>39578</v>
      </c>
      <c r="D676" s="5" t="s">
        <v>3705</v>
      </c>
      <c r="E676" s="5">
        <v>20127765279</v>
      </c>
      <c r="F676" s="5" t="s">
        <v>1115</v>
      </c>
      <c r="G676" s="5" t="s">
        <v>3706</v>
      </c>
      <c r="H676" s="5" t="s">
        <v>47</v>
      </c>
      <c r="I676" s="5" t="s">
        <v>290</v>
      </c>
      <c r="J676" s="5" t="s">
        <v>290</v>
      </c>
      <c r="K676" s="5" t="s">
        <v>37</v>
      </c>
      <c r="L676" s="5" t="s">
        <v>3707</v>
      </c>
      <c r="M676" s="5" t="s">
        <v>3708</v>
      </c>
      <c r="N676" s="5" t="s">
        <v>3709</v>
      </c>
      <c r="O676" s="5" t="s">
        <v>78</v>
      </c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>
        <v>24508</v>
      </c>
      <c r="AB676" s="5">
        <v>3200</v>
      </c>
      <c r="AC676" s="6">
        <v>42572</v>
      </c>
      <c r="AD676" s="5" t="s">
        <v>42</v>
      </c>
      <c r="AE676" s="5" t="s">
        <v>3710</v>
      </c>
      <c r="AF676" s="5">
        <v>240</v>
      </c>
    </row>
    <row r="677" spans="1:32" ht="27.95" x14ac:dyDescent="0.3">
      <c r="A677" s="3">
        <v>671</v>
      </c>
      <c r="B677" s="3" t="str">
        <f>"201700060679"</f>
        <v>201700060679</v>
      </c>
      <c r="C677" s="3" t="str">
        <f>"7135"</f>
        <v>7135</v>
      </c>
      <c r="D677" s="3" t="s">
        <v>3711</v>
      </c>
      <c r="E677" s="3">
        <v>20428543875</v>
      </c>
      <c r="F677" s="3" t="s">
        <v>2637</v>
      </c>
      <c r="G677" s="3" t="s">
        <v>3712</v>
      </c>
      <c r="H677" s="3" t="s">
        <v>58</v>
      </c>
      <c r="I677" s="3" t="s">
        <v>58</v>
      </c>
      <c r="J677" s="3" t="s">
        <v>3713</v>
      </c>
      <c r="K677" s="3" t="s">
        <v>37</v>
      </c>
      <c r="L677" s="3" t="s">
        <v>60</v>
      </c>
      <c r="M677" s="3" t="s">
        <v>161</v>
      </c>
      <c r="N677" s="3" t="s">
        <v>775</v>
      </c>
      <c r="O677" s="3" t="s">
        <v>3714</v>
      </c>
      <c r="P677" s="3" t="s">
        <v>505</v>
      </c>
      <c r="Q677" s="3" t="s">
        <v>248</v>
      </c>
      <c r="R677" s="3"/>
      <c r="S677" s="3"/>
      <c r="T677" s="3"/>
      <c r="U677" s="3"/>
      <c r="V677" s="3"/>
      <c r="W677" s="3"/>
      <c r="X677" s="3"/>
      <c r="Y677" s="3"/>
      <c r="Z677" s="3"/>
      <c r="AA677" s="3">
        <v>36000</v>
      </c>
      <c r="AB677" s="3">
        <v>3000</v>
      </c>
      <c r="AC677" s="4">
        <v>42848</v>
      </c>
      <c r="AD677" s="3" t="s">
        <v>42</v>
      </c>
      <c r="AE677" s="3" t="s">
        <v>3715</v>
      </c>
      <c r="AF677" s="3">
        <v>240</v>
      </c>
    </row>
    <row r="678" spans="1:32" ht="27.95" x14ac:dyDescent="0.3">
      <c r="A678" s="5">
        <v>672</v>
      </c>
      <c r="B678" s="5" t="str">
        <f>"202000093989"</f>
        <v>202000093989</v>
      </c>
      <c r="C678" s="5" t="str">
        <f>"149283"</f>
        <v>149283</v>
      </c>
      <c r="D678" s="5" t="s">
        <v>3716</v>
      </c>
      <c r="E678" s="5">
        <v>20348303636</v>
      </c>
      <c r="F678" s="5" t="s">
        <v>2757</v>
      </c>
      <c r="G678" s="5" t="s">
        <v>3717</v>
      </c>
      <c r="H678" s="5" t="s">
        <v>58</v>
      </c>
      <c r="I678" s="5" t="s">
        <v>1108</v>
      </c>
      <c r="J678" s="5" t="s">
        <v>3718</v>
      </c>
      <c r="K678" s="5" t="s">
        <v>37</v>
      </c>
      <c r="L678" s="5" t="s">
        <v>166</v>
      </c>
      <c r="M678" s="5" t="s">
        <v>51</v>
      </c>
      <c r="N678" s="5" t="s">
        <v>50</v>
      </c>
      <c r="O678" s="5" t="s">
        <v>743</v>
      </c>
      <c r="P678" s="5" t="s">
        <v>166</v>
      </c>
      <c r="Q678" s="5" t="s">
        <v>78</v>
      </c>
      <c r="R678" s="5"/>
      <c r="S678" s="5"/>
      <c r="T678" s="5"/>
      <c r="U678" s="5"/>
      <c r="V678" s="5"/>
      <c r="W678" s="5"/>
      <c r="X678" s="5"/>
      <c r="Y678" s="5"/>
      <c r="Z678" s="5"/>
      <c r="AA678" s="5">
        <v>35000</v>
      </c>
      <c r="AB678" s="5">
        <v>3200</v>
      </c>
      <c r="AC678" s="6">
        <v>44047</v>
      </c>
      <c r="AD678" s="5" t="s">
        <v>42</v>
      </c>
      <c r="AE678" s="5" t="s">
        <v>382</v>
      </c>
      <c r="AF678" s="5">
        <v>0</v>
      </c>
    </row>
    <row r="679" spans="1:32" x14ac:dyDescent="0.3">
      <c r="A679" s="3">
        <v>673</v>
      </c>
      <c r="B679" s="3" t="str">
        <f>"201800009137"</f>
        <v>201800009137</v>
      </c>
      <c r="C679" s="3" t="str">
        <f>"9423"</f>
        <v>9423</v>
      </c>
      <c r="D679" s="3" t="s">
        <v>3719</v>
      </c>
      <c r="E679" s="3">
        <v>20127765279</v>
      </c>
      <c r="F679" s="3" t="s">
        <v>1115</v>
      </c>
      <c r="G679" s="3" t="s">
        <v>3720</v>
      </c>
      <c r="H679" s="3" t="s">
        <v>58</v>
      </c>
      <c r="I679" s="3" t="s">
        <v>58</v>
      </c>
      <c r="J679" s="3" t="s">
        <v>1373</v>
      </c>
      <c r="K679" s="3" t="s">
        <v>37</v>
      </c>
      <c r="L679" s="3" t="s">
        <v>60</v>
      </c>
      <c r="M679" s="3" t="s">
        <v>61</v>
      </c>
      <c r="N679" s="3" t="s">
        <v>1686</v>
      </c>
      <c r="O679" s="3" t="s">
        <v>2053</v>
      </c>
      <c r="P679" s="3" t="s">
        <v>248</v>
      </c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>
        <v>32000</v>
      </c>
      <c r="AB679" s="3">
        <v>3000</v>
      </c>
      <c r="AC679" s="4">
        <v>43123</v>
      </c>
      <c r="AD679" s="3" t="s">
        <v>42</v>
      </c>
      <c r="AE679" s="3" t="s">
        <v>1374</v>
      </c>
      <c r="AF679" s="3">
        <v>240</v>
      </c>
    </row>
    <row r="680" spans="1:32" ht="27.95" x14ac:dyDescent="0.3">
      <c r="A680" s="5">
        <v>674</v>
      </c>
      <c r="B680" s="5" t="str">
        <f>"202000115132"</f>
        <v>202000115132</v>
      </c>
      <c r="C680" s="5" t="str">
        <f>"21366"</f>
        <v>21366</v>
      </c>
      <c r="D680" s="5" t="s">
        <v>3721</v>
      </c>
      <c r="E680" s="5">
        <v>20452823170</v>
      </c>
      <c r="F680" s="5" t="s">
        <v>3722</v>
      </c>
      <c r="G680" s="5" t="s">
        <v>3723</v>
      </c>
      <c r="H680" s="5" t="s">
        <v>47</v>
      </c>
      <c r="I680" s="5" t="s">
        <v>47</v>
      </c>
      <c r="J680" s="5" t="s">
        <v>48</v>
      </c>
      <c r="K680" s="5" t="s">
        <v>37</v>
      </c>
      <c r="L680" s="5" t="s">
        <v>1529</v>
      </c>
      <c r="M680" s="5" t="s">
        <v>174</v>
      </c>
      <c r="N680" s="5" t="s">
        <v>285</v>
      </c>
      <c r="O680" s="5" t="s">
        <v>278</v>
      </c>
      <c r="P680" s="5" t="s">
        <v>1279</v>
      </c>
      <c r="Q680" s="5" t="s">
        <v>381</v>
      </c>
      <c r="R680" s="5"/>
      <c r="S680" s="5"/>
      <c r="T680" s="5"/>
      <c r="U680" s="5"/>
      <c r="V680" s="5"/>
      <c r="W680" s="5"/>
      <c r="X680" s="5"/>
      <c r="Y680" s="5"/>
      <c r="Z680" s="5"/>
      <c r="AA680" s="5">
        <v>18400</v>
      </c>
      <c r="AB680" s="5">
        <v>2000</v>
      </c>
      <c r="AC680" s="6">
        <v>44075</v>
      </c>
      <c r="AD680" s="5" t="s">
        <v>42</v>
      </c>
      <c r="AE680" s="5" t="s">
        <v>3724</v>
      </c>
      <c r="AF680" s="5">
        <v>0</v>
      </c>
    </row>
    <row r="681" spans="1:32" ht="27.95" x14ac:dyDescent="0.3">
      <c r="A681" s="3">
        <v>675</v>
      </c>
      <c r="B681" s="3" t="str">
        <f>"201900126129"</f>
        <v>201900126129</v>
      </c>
      <c r="C681" s="3" t="str">
        <f>"39862"</f>
        <v>39862</v>
      </c>
      <c r="D681" s="3" t="s">
        <v>3725</v>
      </c>
      <c r="E681" s="3">
        <v>20440135502</v>
      </c>
      <c r="F681" s="3" t="s">
        <v>3258</v>
      </c>
      <c r="G681" s="3" t="s">
        <v>3726</v>
      </c>
      <c r="H681" s="3" t="s">
        <v>219</v>
      </c>
      <c r="I681" s="3" t="s">
        <v>220</v>
      </c>
      <c r="J681" s="3" t="s">
        <v>220</v>
      </c>
      <c r="K681" s="3" t="s">
        <v>37</v>
      </c>
      <c r="L681" s="3" t="s">
        <v>63</v>
      </c>
      <c r="M681" s="3" t="s">
        <v>2003</v>
      </c>
      <c r="N681" s="3" t="s">
        <v>3727</v>
      </c>
      <c r="O681" s="3" t="s">
        <v>154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>
        <v>14800</v>
      </c>
      <c r="AB681" s="3">
        <v>6000</v>
      </c>
      <c r="AC681" s="4">
        <v>43716</v>
      </c>
      <c r="AD681" s="3" t="s">
        <v>42</v>
      </c>
      <c r="AE681" s="3" t="s">
        <v>1144</v>
      </c>
      <c r="AF681" s="3">
        <v>720</v>
      </c>
    </row>
    <row r="682" spans="1:32" ht="27.95" x14ac:dyDescent="0.3">
      <c r="A682" s="5">
        <v>676</v>
      </c>
      <c r="B682" s="5" t="str">
        <f>"201600127104"</f>
        <v>201600127104</v>
      </c>
      <c r="C682" s="5" t="str">
        <f>"7143"</f>
        <v>7143</v>
      </c>
      <c r="D682" s="5" t="s">
        <v>3728</v>
      </c>
      <c r="E682" s="5">
        <v>20220724809</v>
      </c>
      <c r="F682" s="5" t="s">
        <v>3729</v>
      </c>
      <c r="G682" s="5" t="s">
        <v>3730</v>
      </c>
      <c r="H682" s="5" t="s">
        <v>36</v>
      </c>
      <c r="I682" s="5" t="s">
        <v>36</v>
      </c>
      <c r="J682" s="5" t="s">
        <v>36</v>
      </c>
      <c r="K682" s="5" t="s">
        <v>37</v>
      </c>
      <c r="L682" s="5" t="s">
        <v>398</v>
      </c>
      <c r="M682" s="5" t="s">
        <v>477</v>
      </c>
      <c r="N682" s="5" t="s">
        <v>477</v>
      </c>
      <c r="O682" s="5" t="s">
        <v>262</v>
      </c>
      <c r="P682" s="5" t="s">
        <v>3731</v>
      </c>
      <c r="Q682" s="5" t="s">
        <v>555</v>
      </c>
      <c r="R682" s="5" t="s">
        <v>94</v>
      </c>
      <c r="S682" s="5"/>
      <c r="T682" s="5"/>
      <c r="U682" s="5"/>
      <c r="V682" s="5"/>
      <c r="W682" s="5"/>
      <c r="X682" s="5"/>
      <c r="Y682" s="5"/>
      <c r="Z682" s="5"/>
      <c r="AA682" s="5">
        <v>25000</v>
      </c>
      <c r="AB682" s="5">
        <v>5000</v>
      </c>
      <c r="AC682" s="6">
        <v>42646</v>
      </c>
      <c r="AD682" s="5" t="s">
        <v>42</v>
      </c>
      <c r="AE682" s="5" t="s">
        <v>3732</v>
      </c>
      <c r="AF682" s="5">
        <v>0</v>
      </c>
    </row>
    <row r="683" spans="1:32" ht="27.95" x14ac:dyDescent="0.3">
      <c r="A683" s="3">
        <v>677</v>
      </c>
      <c r="B683" s="3" t="str">
        <f>"201900062256"</f>
        <v>201900062256</v>
      </c>
      <c r="C683" s="3" t="str">
        <f>"9329"</f>
        <v>9329</v>
      </c>
      <c r="D683" s="3" t="s">
        <v>3733</v>
      </c>
      <c r="E683" s="3">
        <v>20337657037</v>
      </c>
      <c r="F683" s="3" t="s">
        <v>3734</v>
      </c>
      <c r="G683" s="3" t="s">
        <v>3735</v>
      </c>
      <c r="H683" s="3" t="s">
        <v>58</v>
      </c>
      <c r="I683" s="3" t="s">
        <v>58</v>
      </c>
      <c r="J683" s="3" t="s">
        <v>753</v>
      </c>
      <c r="K683" s="3" t="s">
        <v>37</v>
      </c>
      <c r="L683" s="3" t="s">
        <v>3736</v>
      </c>
      <c r="M683" s="3" t="s">
        <v>3737</v>
      </c>
      <c r="N683" s="3" t="s">
        <v>3738</v>
      </c>
      <c r="O683" s="3" t="s">
        <v>3737</v>
      </c>
      <c r="P683" s="3" t="s">
        <v>2087</v>
      </c>
      <c r="Q683" s="3" t="s">
        <v>3739</v>
      </c>
      <c r="R683" s="3" t="s">
        <v>381</v>
      </c>
      <c r="S683" s="3"/>
      <c r="T683" s="3"/>
      <c r="U683" s="3"/>
      <c r="V683" s="3"/>
      <c r="W683" s="3"/>
      <c r="X683" s="3"/>
      <c r="Y683" s="3"/>
      <c r="Z683" s="3"/>
      <c r="AA683" s="3">
        <v>23878</v>
      </c>
      <c r="AB683" s="3">
        <v>2000</v>
      </c>
      <c r="AC683" s="4">
        <v>43571</v>
      </c>
      <c r="AD683" s="3" t="s">
        <v>42</v>
      </c>
      <c r="AE683" s="3" t="s">
        <v>3740</v>
      </c>
      <c r="AF683" s="3">
        <v>0</v>
      </c>
    </row>
    <row r="684" spans="1:32" ht="27.95" x14ac:dyDescent="0.3">
      <c r="A684" s="5">
        <v>678</v>
      </c>
      <c r="B684" s="5" t="str">
        <f>"201900074597"</f>
        <v>201900074597</v>
      </c>
      <c r="C684" s="5" t="str">
        <f>"6821"</f>
        <v>6821</v>
      </c>
      <c r="D684" s="5" t="s">
        <v>3741</v>
      </c>
      <c r="E684" s="5">
        <v>20502105613</v>
      </c>
      <c r="F684" s="5" t="s">
        <v>3742</v>
      </c>
      <c r="G684" s="5" t="s">
        <v>3743</v>
      </c>
      <c r="H684" s="5" t="s">
        <v>58</v>
      </c>
      <c r="I684" s="5" t="s">
        <v>58</v>
      </c>
      <c r="J684" s="5" t="s">
        <v>2494</v>
      </c>
      <c r="K684" s="5" t="s">
        <v>37</v>
      </c>
      <c r="L684" s="5" t="s">
        <v>50</v>
      </c>
      <c r="M684" s="5" t="s">
        <v>50</v>
      </c>
      <c r="N684" s="5" t="s">
        <v>51</v>
      </c>
      <c r="O684" s="5" t="s">
        <v>1866</v>
      </c>
      <c r="P684" s="5" t="s">
        <v>78</v>
      </c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>
        <v>21000</v>
      </c>
      <c r="AB684" s="5">
        <v>3200</v>
      </c>
      <c r="AC684" s="6">
        <v>43598</v>
      </c>
      <c r="AD684" s="5" t="s">
        <v>42</v>
      </c>
      <c r="AE684" s="5" t="s">
        <v>3744</v>
      </c>
      <c r="AF684" s="5">
        <v>120</v>
      </c>
    </row>
    <row r="685" spans="1:32" ht="27.95" x14ac:dyDescent="0.3">
      <c r="A685" s="3">
        <v>679</v>
      </c>
      <c r="B685" s="3" t="str">
        <f>"201700073967"</f>
        <v>201700073967</v>
      </c>
      <c r="C685" s="3" t="str">
        <f>"17849"</f>
        <v>17849</v>
      </c>
      <c r="D685" s="3" t="s">
        <v>3745</v>
      </c>
      <c r="E685" s="3">
        <v>20411419488</v>
      </c>
      <c r="F685" s="3" t="s">
        <v>3746</v>
      </c>
      <c r="G685" s="3" t="s">
        <v>3747</v>
      </c>
      <c r="H685" s="3" t="s">
        <v>134</v>
      </c>
      <c r="I685" s="3" t="s">
        <v>135</v>
      </c>
      <c r="J685" s="3" t="s">
        <v>135</v>
      </c>
      <c r="K685" s="3" t="s">
        <v>37</v>
      </c>
      <c r="L685" s="3" t="s">
        <v>127</v>
      </c>
      <c r="M685" s="3" t="s">
        <v>3748</v>
      </c>
      <c r="N685" s="3" t="s">
        <v>1154</v>
      </c>
      <c r="O685" s="3" t="s">
        <v>128</v>
      </c>
      <c r="P685" s="3" t="s">
        <v>78</v>
      </c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>
        <v>18000</v>
      </c>
      <c r="AB685" s="3">
        <v>3200</v>
      </c>
      <c r="AC685" s="4">
        <v>42874</v>
      </c>
      <c r="AD685" s="3" t="s">
        <v>42</v>
      </c>
      <c r="AE685" s="3" t="s">
        <v>3749</v>
      </c>
      <c r="AF685" s="3">
        <v>0</v>
      </c>
    </row>
    <row r="686" spans="1:32" ht="27.95" x14ac:dyDescent="0.3">
      <c r="A686" s="5">
        <v>680</v>
      </c>
      <c r="B686" s="5" t="str">
        <f>"202000058840"</f>
        <v>202000058840</v>
      </c>
      <c r="C686" s="5" t="str">
        <f>"148026"</f>
        <v>148026</v>
      </c>
      <c r="D686" s="5" t="s">
        <v>3750</v>
      </c>
      <c r="E686" s="5">
        <v>20529794399</v>
      </c>
      <c r="F686" s="5" t="s">
        <v>3751</v>
      </c>
      <c r="G686" s="5" t="s">
        <v>3752</v>
      </c>
      <c r="H686" s="5" t="s">
        <v>187</v>
      </c>
      <c r="I686" s="5" t="s">
        <v>1630</v>
      </c>
      <c r="J686" s="5" t="s">
        <v>1630</v>
      </c>
      <c r="K686" s="5" t="s">
        <v>37</v>
      </c>
      <c r="L686" s="5" t="s">
        <v>102</v>
      </c>
      <c r="M686" s="5" t="s">
        <v>51</v>
      </c>
      <c r="N686" s="5" t="s">
        <v>50</v>
      </c>
      <c r="O686" s="5" t="s">
        <v>102</v>
      </c>
      <c r="P686" s="5" t="s">
        <v>94</v>
      </c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>
        <v>20000</v>
      </c>
      <c r="AB686" s="5">
        <v>5000</v>
      </c>
      <c r="AC686" s="6">
        <v>43990</v>
      </c>
      <c r="AD686" s="5" t="s">
        <v>42</v>
      </c>
      <c r="AE686" s="5" t="s">
        <v>3753</v>
      </c>
      <c r="AF686" s="5">
        <v>0</v>
      </c>
    </row>
    <row r="687" spans="1:32" ht="27.95" x14ac:dyDescent="0.3">
      <c r="A687" s="3">
        <v>681</v>
      </c>
      <c r="B687" s="3" t="str">
        <f>"201200127143"</f>
        <v>201200127143</v>
      </c>
      <c r="C687" s="3" t="str">
        <f>"8345"</f>
        <v>8345</v>
      </c>
      <c r="D687" s="3" t="s">
        <v>3754</v>
      </c>
      <c r="E687" s="3">
        <v>20486437104</v>
      </c>
      <c r="F687" s="3" t="s">
        <v>3755</v>
      </c>
      <c r="G687" s="3" t="s">
        <v>3756</v>
      </c>
      <c r="H687" s="3" t="s">
        <v>108</v>
      </c>
      <c r="I687" s="3" t="s">
        <v>144</v>
      </c>
      <c r="J687" s="3" t="s">
        <v>2842</v>
      </c>
      <c r="K687" s="3" t="s">
        <v>37</v>
      </c>
      <c r="L687" s="3" t="s">
        <v>3757</v>
      </c>
      <c r="M687" s="3" t="s">
        <v>3758</v>
      </c>
      <c r="N687" s="3" t="s">
        <v>3759</v>
      </c>
      <c r="O687" s="3" t="s">
        <v>3589</v>
      </c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>
        <v>23576</v>
      </c>
      <c r="AB687" s="3">
        <v>5000</v>
      </c>
      <c r="AC687" s="4">
        <v>41079</v>
      </c>
      <c r="AD687" s="3" t="s">
        <v>42</v>
      </c>
      <c r="AE687" s="3" t="s">
        <v>3447</v>
      </c>
      <c r="AF687" s="3">
        <v>480</v>
      </c>
    </row>
    <row r="688" spans="1:32" x14ac:dyDescent="0.3">
      <c r="A688" s="5">
        <v>682</v>
      </c>
      <c r="B688" s="5" t="str">
        <f>"201900049969"</f>
        <v>201900049969</v>
      </c>
      <c r="C688" s="5" t="str">
        <f>"16757"</f>
        <v>16757</v>
      </c>
      <c r="D688" s="5" t="s">
        <v>3760</v>
      </c>
      <c r="E688" s="5">
        <v>20127765279</v>
      </c>
      <c r="F688" s="5" t="s">
        <v>1115</v>
      </c>
      <c r="G688" s="5" t="s">
        <v>3761</v>
      </c>
      <c r="H688" s="5" t="s">
        <v>219</v>
      </c>
      <c r="I688" s="5" t="s">
        <v>220</v>
      </c>
      <c r="J688" s="5" t="s">
        <v>2037</v>
      </c>
      <c r="K688" s="5" t="s">
        <v>37</v>
      </c>
      <c r="L688" s="5" t="s">
        <v>50</v>
      </c>
      <c r="M688" s="5" t="s">
        <v>51</v>
      </c>
      <c r="N688" s="5" t="s">
        <v>3762</v>
      </c>
      <c r="O688" s="5" t="s">
        <v>102</v>
      </c>
      <c r="P688" s="5" t="s">
        <v>63</v>
      </c>
      <c r="Q688" s="5" t="s">
        <v>63</v>
      </c>
      <c r="R688" s="5" t="s">
        <v>2282</v>
      </c>
      <c r="S688" s="5"/>
      <c r="T688" s="5"/>
      <c r="U688" s="5"/>
      <c r="V688" s="5"/>
      <c r="W688" s="5"/>
      <c r="X688" s="5"/>
      <c r="Y688" s="5"/>
      <c r="Z688" s="5"/>
      <c r="AA688" s="5">
        <v>31200</v>
      </c>
      <c r="AB688" s="5">
        <v>8000</v>
      </c>
      <c r="AC688" s="6">
        <v>43551</v>
      </c>
      <c r="AD688" s="5" t="s">
        <v>42</v>
      </c>
      <c r="AE688" s="5" t="s">
        <v>279</v>
      </c>
      <c r="AF688" s="5">
        <v>480</v>
      </c>
    </row>
    <row r="689" spans="1:32" ht="27.95" x14ac:dyDescent="0.3">
      <c r="A689" s="3">
        <v>683</v>
      </c>
      <c r="B689" s="3" t="str">
        <f>"201600148930"</f>
        <v>201600148930</v>
      </c>
      <c r="C689" s="3" t="str">
        <f>"42317"</f>
        <v>42317</v>
      </c>
      <c r="D689" s="3" t="s">
        <v>3763</v>
      </c>
      <c r="E689" s="3">
        <v>20530559824</v>
      </c>
      <c r="F689" s="3" t="s">
        <v>3764</v>
      </c>
      <c r="G689" s="3" t="s">
        <v>3765</v>
      </c>
      <c r="H689" s="3" t="s">
        <v>116</v>
      </c>
      <c r="I689" s="3" t="s">
        <v>1168</v>
      </c>
      <c r="J689" s="3" t="s">
        <v>1168</v>
      </c>
      <c r="K689" s="3" t="s">
        <v>37</v>
      </c>
      <c r="L689" s="3" t="s">
        <v>3766</v>
      </c>
      <c r="M689" s="3" t="s">
        <v>3767</v>
      </c>
      <c r="N689" s="3" t="s">
        <v>3768</v>
      </c>
      <c r="O689" s="3" t="s">
        <v>3769</v>
      </c>
      <c r="P689" s="3" t="s">
        <v>94</v>
      </c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>
        <v>22305</v>
      </c>
      <c r="AB689" s="3">
        <v>5000</v>
      </c>
      <c r="AC689" s="4">
        <v>42669</v>
      </c>
      <c r="AD689" s="3" t="s">
        <v>42</v>
      </c>
      <c r="AE689" s="3" t="s">
        <v>3770</v>
      </c>
      <c r="AF689" s="3">
        <v>720</v>
      </c>
    </row>
    <row r="690" spans="1:32" ht="27.95" x14ac:dyDescent="0.3">
      <c r="A690" s="5">
        <v>684</v>
      </c>
      <c r="B690" s="5" t="str">
        <f>"201900059236"</f>
        <v>201900059236</v>
      </c>
      <c r="C690" s="5" t="str">
        <f>"135731"</f>
        <v>135731</v>
      </c>
      <c r="D690" s="5" t="s">
        <v>3771</v>
      </c>
      <c r="E690" s="5">
        <v>20565431987</v>
      </c>
      <c r="F690" s="5" t="s">
        <v>3772</v>
      </c>
      <c r="G690" s="5" t="s">
        <v>3773</v>
      </c>
      <c r="H690" s="5" t="s">
        <v>58</v>
      </c>
      <c r="I690" s="5" t="s">
        <v>58</v>
      </c>
      <c r="J690" s="5" t="s">
        <v>1091</v>
      </c>
      <c r="K690" s="5" t="s">
        <v>37</v>
      </c>
      <c r="L690" s="5" t="s">
        <v>63</v>
      </c>
      <c r="M690" s="5" t="s">
        <v>1278</v>
      </c>
      <c r="N690" s="5" t="s">
        <v>161</v>
      </c>
      <c r="O690" s="5" t="s">
        <v>263</v>
      </c>
      <c r="P690" s="5" t="s">
        <v>120</v>
      </c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>
        <v>24000</v>
      </c>
      <c r="AB690" s="5">
        <v>3500</v>
      </c>
      <c r="AC690" s="6">
        <v>43566</v>
      </c>
      <c r="AD690" s="5" t="s">
        <v>42</v>
      </c>
      <c r="AE690" s="5" t="s">
        <v>3774</v>
      </c>
      <c r="AF690" s="5">
        <v>480</v>
      </c>
    </row>
    <row r="691" spans="1:32" ht="27.95" x14ac:dyDescent="0.3">
      <c r="A691" s="3">
        <v>685</v>
      </c>
      <c r="B691" s="3" t="str">
        <f>"201700192340"</f>
        <v>201700192340</v>
      </c>
      <c r="C691" s="3" t="str">
        <f>"43650"</f>
        <v>43650</v>
      </c>
      <c r="D691" s="3" t="s">
        <v>3775</v>
      </c>
      <c r="E691" s="3">
        <v>20600212908</v>
      </c>
      <c r="F691" s="3" t="s">
        <v>3776</v>
      </c>
      <c r="G691" s="3" t="s">
        <v>3777</v>
      </c>
      <c r="H691" s="3" t="s">
        <v>125</v>
      </c>
      <c r="I691" s="3" t="s">
        <v>591</v>
      </c>
      <c r="J691" s="3" t="s">
        <v>591</v>
      </c>
      <c r="K691" s="3" t="s">
        <v>37</v>
      </c>
      <c r="L691" s="3" t="s">
        <v>102</v>
      </c>
      <c r="M691" s="3" t="s">
        <v>76</v>
      </c>
      <c r="N691" s="3" t="s">
        <v>3778</v>
      </c>
      <c r="O691" s="3" t="s">
        <v>94</v>
      </c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>
        <v>9500</v>
      </c>
      <c r="AB691" s="3">
        <v>5000</v>
      </c>
      <c r="AC691" s="4">
        <v>43057</v>
      </c>
      <c r="AD691" s="3" t="s">
        <v>42</v>
      </c>
      <c r="AE691" s="3" t="s">
        <v>594</v>
      </c>
      <c r="AF691" s="3">
        <v>720</v>
      </c>
    </row>
    <row r="692" spans="1:32" x14ac:dyDescent="0.3">
      <c r="A692" s="5">
        <v>686</v>
      </c>
      <c r="B692" s="5" t="str">
        <f>"1842183"</f>
        <v>1842183</v>
      </c>
      <c r="C692" s="5" t="str">
        <f>"63861"</f>
        <v>63861</v>
      </c>
      <c r="D692" s="5" t="s">
        <v>3779</v>
      </c>
      <c r="E692" s="5">
        <v>20511193045</v>
      </c>
      <c r="F692" s="5" t="s">
        <v>3780</v>
      </c>
      <c r="G692" s="5" t="s">
        <v>3781</v>
      </c>
      <c r="H692" s="5" t="s">
        <v>47</v>
      </c>
      <c r="I692" s="5" t="s">
        <v>159</v>
      </c>
      <c r="J692" s="5" t="s">
        <v>3782</v>
      </c>
      <c r="K692" s="5" t="s">
        <v>37</v>
      </c>
      <c r="L692" s="5" t="s">
        <v>3783</v>
      </c>
      <c r="M692" s="5" t="s">
        <v>3784</v>
      </c>
      <c r="N692" s="5" t="s">
        <v>3785</v>
      </c>
      <c r="O692" s="5" t="s">
        <v>3786</v>
      </c>
      <c r="P692" s="5" t="s">
        <v>3787</v>
      </c>
      <c r="Q692" s="5" t="s">
        <v>3787</v>
      </c>
      <c r="R692" s="5"/>
      <c r="S692" s="5"/>
      <c r="T692" s="5"/>
      <c r="U692" s="5"/>
      <c r="V692" s="5"/>
      <c r="W692" s="5"/>
      <c r="X692" s="5"/>
      <c r="Y692" s="5"/>
      <c r="Z692" s="5"/>
      <c r="AA692" s="5">
        <v>23820</v>
      </c>
      <c r="AB692" s="5">
        <v>3040</v>
      </c>
      <c r="AC692" s="6">
        <v>39779</v>
      </c>
      <c r="AD692" s="5" t="s">
        <v>42</v>
      </c>
      <c r="AE692" s="5" t="s">
        <v>3788</v>
      </c>
      <c r="AF692" s="5">
        <v>0</v>
      </c>
    </row>
    <row r="693" spans="1:32" ht="27.95" x14ac:dyDescent="0.3">
      <c r="A693" s="3">
        <v>687</v>
      </c>
      <c r="B693" s="3" t="str">
        <f>"201800111675"</f>
        <v>201800111675</v>
      </c>
      <c r="C693" s="3" t="str">
        <f>"31655"</f>
        <v>31655</v>
      </c>
      <c r="D693" s="3" t="s">
        <v>3789</v>
      </c>
      <c r="E693" s="3">
        <v>20521111888</v>
      </c>
      <c r="F693" s="3" t="s">
        <v>3790</v>
      </c>
      <c r="G693" s="3" t="s">
        <v>3791</v>
      </c>
      <c r="H693" s="3" t="s">
        <v>58</v>
      </c>
      <c r="I693" s="3" t="s">
        <v>823</v>
      </c>
      <c r="J693" s="3" t="s">
        <v>823</v>
      </c>
      <c r="K693" s="3" t="s">
        <v>37</v>
      </c>
      <c r="L693" s="3" t="s">
        <v>367</v>
      </c>
      <c r="M693" s="3" t="s">
        <v>1163</v>
      </c>
      <c r="N693" s="3" t="s">
        <v>3792</v>
      </c>
      <c r="O693" s="3" t="s">
        <v>3792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>
        <v>3000</v>
      </c>
      <c r="AB693" s="3">
        <v>2800</v>
      </c>
      <c r="AC693" s="4">
        <v>43300</v>
      </c>
      <c r="AD693" s="3" t="s">
        <v>42</v>
      </c>
      <c r="AE693" s="3" t="s">
        <v>3793</v>
      </c>
      <c r="AF693" s="3">
        <v>480</v>
      </c>
    </row>
    <row r="694" spans="1:32" ht="27.95" x14ac:dyDescent="0.3">
      <c r="A694" s="5">
        <v>688</v>
      </c>
      <c r="B694" s="5" t="str">
        <f>"201800203488"</f>
        <v>201800203488</v>
      </c>
      <c r="C694" s="5" t="str">
        <f>"18872"</f>
        <v>18872</v>
      </c>
      <c r="D694" s="5" t="s">
        <v>3794</v>
      </c>
      <c r="E694" s="5">
        <v>20503840121</v>
      </c>
      <c r="F694" s="5" t="s">
        <v>442</v>
      </c>
      <c r="G694" s="5" t="s">
        <v>3795</v>
      </c>
      <c r="H694" s="5" t="s">
        <v>58</v>
      </c>
      <c r="I694" s="5" t="s">
        <v>58</v>
      </c>
      <c r="J694" s="5" t="s">
        <v>58</v>
      </c>
      <c r="K694" s="5" t="s">
        <v>37</v>
      </c>
      <c r="L694" s="5" t="s">
        <v>63</v>
      </c>
      <c r="M694" s="5" t="s">
        <v>63</v>
      </c>
      <c r="N694" s="5" t="s">
        <v>161</v>
      </c>
      <c r="O694" s="5" t="s">
        <v>960</v>
      </c>
      <c r="P694" s="5" t="s">
        <v>555</v>
      </c>
      <c r="Q694" s="5" t="s">
        <v>3411</v>
      </c>
      <c r="R694" s="5"/>
      <c r="S694" s="5"/>
      <c r="T694" s="5"/>
      <c r="U694" s="5"/>
      <c r="V694" s="5"/>
      <c r="W694" s="5"/>
      <c r="X694" s="5"/>
      <c r="Y694" s="5"/>
      <c r="Z694" s="5"/>
      <c r="AA694" s="5">
        <v>27000</v>
      </c>
      <c r="AB694" s="5">
        <v>4200</v>
      </c>
      <c r="AC694" s="6">
        <v>43446</v>
      </c>
      <c r="AD694" s="5" t="s">
        <v>42</v>
      </c>
      <c r="AE694" s="5" t="s">
        <v>399</v>
      </c>
      <c r="AF694" s="5">
        <v>0</v>
      </c>
    </row>
    <row r="695" spans="1:32" x14ac:dyDescent="0.3">
      <c r="A695" s="3">
        <v>689</v>
      </c>
      <c r="B695" s="3" t="str">
        <f>"201700134770"</f>
        <v>201700134770</v>
      </c>
      <c r="C695" s="3" t="str">
        <f>"8297"</f>
        <v>8297</v>
      </c>
      <c r="D695" s="3" t="s">
        <v>3796</v>
      </c>
      <c r="E695" s="3">
        <v>20231266993</v>
      </c>
      <c r="F695" s="3" t="s">
        <v>2180</v>
      </c>
      <c r="G695" s="3" t="s">
        <v>3797</v>
      </c>
      <c r="H695" s="3" t="s">
        <v>150</v>
      </c>
      <c r="I695" s="3" t="s">
        <v>150</v>
      </c>
      <c r="J695" s="3" t="s">
        <v>3289</v>
      </c>
      <c r="K695" s="3" t="s">
        <v>37</v>
      </c>
      <c r="L695" s="3" t="s">
        <v>411</v>
      </c>
      <c r="M695" s="3" t="s">
        <v>2415</v>
      </c>
      <c r="N695" s="3" t="s">
        <v>152</v>
      </c>
      <c r="O695" s="3" t="s">
        <v>94</v>
      </c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>
        <v>15000</v>
      </c>
      <c r="AB695" s="3">
        <v>5000</v>
      </c>
      <c r="AC695" s="4">
        <v>42975</v>
      </c>
      <c r="AD695" s="3" t="s">
        <v>42</v>
      </c>
      <c r="AE695" s="3" t="s">
        <v>3798</v>
      </c>
      <c r="AF695" s="3">
        <v>0</v>
      </c>
    </row>
    <row r="696" spans="1:32" x14ac:dyDescent="0.3">
      <c r="A696" s="5">
        <v>690</v>
      </c>
      <c r="B696" s="5" t="str">
        <f>"202000145169"</f>
        <v>202000145169</v>
      </c>
      <c r="C696" s="5" t="str">
        <f>"88826"</f>
        <v>88826</v>
      </c>
      <c r="D696" s="5" t="s">
        <v>3799</v>
      </c>
      <c r="E696" s="5">
        <v>20452337828</v>
      </c>
      <c r="F696" s="5" t="s">
        <v>3800</v>
      </c>
      <c r="G696" s="5" t="s">
        <v>3801</v>
      </c>
      <c r="H696" s="5" t="s">
        <v>47</v>
      </c>
      <c r="I696" s="5" t="s">
        <v>159</v>
      </c>
      <c r="J696" s="5" t="s">
        <v>160</v>
      </c>
      <c r="K696" s="5" t="s">
        <v>37</v>
      </c>
      <c r="L696" s="5" t="s">
        <v>3802</v>
      </c>
      <c r="M696" s="5" t="s">
        <v>3803</v>
      </c>
      <c r="N696" s="5" t="s">
        <v>3804</v>
      </c>
      <c r="O696" s="5" t="s">
        <v>63</v>
      </c>
      <c r="P696" s="5" t="s">
        <v>78</v>
      </c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>
        <v>10400</v>
      </c>
      <c r="AB696" s="5">
        <v>3200</v>
      </c>
      <c r="AC696" s="6">
        <v>44123</v>
      </c>
      <c r="AD696" s="5" t="s">
        <v>42</v>
      </c>
      <c r="AE696" s="5" t="s">
        <v>3805</v>
      </c>
      <c r="AF696" s="5">
        <v>0</v>
      </c>
    </row>
    <row r="697" spans="1:32" ht="27.95" x14ac:dyDescent="0.3">
      <c r="A697" s="3">
        <v>691</v>
      </c>
      <c r="B697" s="3" t="str">
        <f>"202000116213"</f>
        <v>202000116213</v>
      </c>
      <c r="C697" s="3" t="str">
        <f>"9554"</f>
        <v>9554</v>
      </c>
      <c r="D697" s="3" t="s">
        <v>3806</v>
      </c>
      <c r="E697" s="3">
        <v>20495617760</v>
      </c>
      <c r="F697" s="3" t="s">
        <v>3807</v>
      </c>
      <c r="G697" s="3" t="s">
        <v>3808</v>
      </c>
      <c r="H697" s="3" t="s">
        <v>134</v>
      </c>
      <c r="I697" s="3" t="s">
        <v>134</v>
      </c>
      <c r="J697" s="3" t="s">
        <v>134</v>
      </c>
      <c r="K697" s="3" t="s">
        <v>37</v>
      </c>
      <c r="L697" s="3" t="s">
        <v>3809</v>
      </c>
      <c r="M697" s="3" t="s">
        <v>1153</v>
      </c>
      <c r="N697" s="3" t="s">
        <v>72</v>
      </c>
      <c r="O697" s="3" t="s">
        <v>275</v>
      </c>
      <c r="P697" s="3" t="s">
        <v>1279</v>
      </c>
      <c r="Q697" s="3" t="s">
        <v>670</v>
      </c>
      <c r="R697" s="3" t="s">
        <v>166</v>
      </c>
      <c r="S697" s="3" t="s">
        <v>94</v>
      </c>
      <c r="T697" s="3"/>
      <c r="U697" s="3"/>
      <c r="V697" s="3"/>
      <c r="W697" s="3"/>
      <c r="X697" s="3"/>
      <c r="Y697" s="3"/>
      <c r="Z697" s="3"/>
      <c r="AA697" s="3">
        <v>34600</v>
      </c>
      <c r="AB697" s="3">
        <v>5000</v>
      </c>
      <c r="AC697" s="4">
        <v>44078</v>
      </c>
      <c r="AD697" s="3" t="s">
        <v>42</v>
      </c>
      <c r="AE697" s="3" t="s">
        <v>3810</v>
      </c>
      <c r="AF697" s="3">
        <v>720</v>
      </c>
    </row>
    <row r="698" spans="1:32" x14ac:dyDescent="0.3">
      <c r="A698" s="5">
        <v>692</v>
      </c>
      <c r="B698" s="5" t="str">
        <f>"201700205967"</f>
        <v>201700205967</v>
      </c>
      <c r="C698" s="5" t="str">
        <f>"7018"</f>
        <v>7018</v>
      </c>
      <c r="D698" s="5" t="s">
        <v>3811</v>
      </c>
      <c r="E698" s="5">
        <v>20498402331</v>
      </c>
      <c r="F698" s="5" t="s">
        <v>3812</v>
      </c>
      <c r="G698" s="5" t="s">
        <v>3813</v>
      </c>
      <c r="H698" s="5" t="s">
        <v>89</v>
      </c>
      <c r="I698" s="5" t="s">
        <v>89</v>
      </c>
      <c r="J698" s="5" t="s">
        <v>89</v>
      </c>
      <c r="K698" s="5" t="s">
        <v>37</v>
      </c>
      <c r="L698" s="5" t="s">
        <v>171</v>
      </c>
      <c r="M698" s="5" t="s">
        <v>296</v>
      </c>
      <c r="N698" s="5" t="s">
        <v>1163</v>
      </c>
      <c r="O698" s="5" t="s">
        <v>51</v>
      </c>
      <c r="P698" s="5" t="s">
        <v>248</v>
      </c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>
        <v>13000</v>
      </c>
      <c r="AB698" s="5">
        <v>3000</v>
      </c>
      <c r="AC698" s="6">
        <v>43070</v>
      </c>
      <c r="AD698" s="5" t="s">
        <v>42</v>
      </c>
      <c r="AE698" s="5" t="s">
        <v>3814</v>
      </c>
      <c r="AF698" s="5">
        <v>0</v>
      </c>
    </row>
    <row r="699" spans="1:32" x14ac:dyDescent="0.3">
      <c r="A699" s="3">
        <v>693</v>
      </c>
      <c r="B699" s="3" t="str">
        <f>"201600145750"</f>
        <v>201600145750</v>
      </c>
      <c r="C699" s="3" t="str">
        <f>"116464"</f>
        <v>116464</v>
      </c>
      <c r="D699" s="3" t="s">
        <v>3815</v>
      </c>
      <c r="E699" s="3">
        <v>20517774929</v>
      </c>
      <c r="F699" s="3" t="s">
        <v>1498</v>
      </c>
      <c r="G699" s="3" t="s">
        <v>3816</v>
      </c>
      <c r="H699" s="3" t="s">
        <v>47</v>
      </c>
      <c r="I699" s="3" t="s">
        <v>47</v>
      </c>
      <c r="J699" s="3" t="s">
        <v>47</v>
      </c>
      <c r="K699" s="3" t="s">
        <v>37</v>
      </c>
      <c r="L699" s="3" t="s">
        <v>1825</v>
      </c>
      <c r="M699" s="3" t="s">
        <v>285</v>
      </c>
      <c r="N699" s="3" t="s">
        <v>174</v>
      </c>
      <c r="O699" s="3" t="s">
        <v>171</v>
      </c>
      <c r="P699" s="3" t="s">
        <v>404</v>
      </c>
      <c r="Q699" s="3" t="s">
        <v>979</v>
      </c>
      <c r="R699" s="3"/>
      <c r="S699" s="3"/>
      <c r="T699" s="3"/>
      <c r="U699" s="3"/>
      <c r="V699" s="3"/>
      <c r="W699" s="3"/>
      <c r="X699" s="3"/>
      <c r="Y699" s="3"/>
      <c r="Z699" s="3"/>
      <c r="AA699" s="3">
        <v>25000</v>
      </c>
      <c r="AB699" s="3">
        <v>7000</v>
      </c>
      <c r="AC699" s="4">
        <v>42656</v>
      </c>
      <c r="AD699" s="3" t="s">
        <v>42</v>
      </c>
      <c r="AE699" s="3" t="s">
        <v>980</v>
      </c>
      <c r="AF699" s="3">
        <v>0</v>
      </c>
    </row>
    <row r="700" spans="1:32" ht="41.95" x14ac:dyDescent="0.3">
      <c r="A700" s="5">
        <v>694</v>
      </c>
      <c r="B700" s="5" t="str">
        <f>"201900210535"</f>
        <v>201900210535</v>
      </c>
      <c r="C700" s="5" t="str">
        <f>"114150"</f>
        <v>114150</v>
      </c>
      <c r="D700" s="5" t="s">
        <v>3817</v>
      </c>
      <c r="E700" s="5">
        <v>20605481630</v>
      </c>
      <c r="F700" s="5" t="s">
        <v>3818</v>
      </c>
      <c r="G700" s="5" t="s">
        <v>3819</v>
      </c>
      <c r="H700" s="5" t="s">
        <v>116</v>
      </c>
      <c r="I700" s="5" t="s">
        <v>339</v>
      </c>
      <c r="J700" s="5" t="s">
        <v>340</v>
      </c>
      <c r="K700" s="5" t="s">
        <v>37</v>
      </c>
      <c r="L700" s="5" t="s">
        <v>102</v>
      </c>
      <c r="M700" s="5" t="s">
        <v>1111</v>
      </c>
      <c r="N700" s="5" t="s">
        <v>74</v>
      </c>
      <c r="O700" s="5" t="s">
        <v>555</v>
      </c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>
        <v>14000</v>
      </c>
      <c r="AB700" s="5">
        <v>4500</v>
      </c>
      <c r="AC700" s="6">
        <v>43819</v>
      </c>
      <c r="AD700" s="5" t="s">
        <v>42</v>
      </c>
      <c r="AE700" s="5" t="s">
        <v>353</v>
      </c>
      <c r="AF700" s="5">
        <v>0</v>
      </c>
    </row>
    <row r="701" spans="1:32" ht="27.95" x14ac:dyDescent="0.3">
      <c r="A701" s="3">
        <v>695</v>
      </c>
      <c r="B701" s="3" t="str">
        <f>"201800010889"</f>
        <v>201800010889</v>
      </c>
      <c r="C701" s="3" t="str">
        <f>"20129"</f>
        <v>20129</v>
      </c>
      <c r="D701" s="3" t="s">
        <v>3820</v>
      </c>
      <c r="E701" s="3">
        <v>20127765279</v>
      </c>
      <c r="F701" s="3" t="s">
        <v>273</v>
      </c>
      <c r="G701" s="3" t="s">
        <v>3821</v>
      </c>
      <c r="H701" s="3" t="s">
        <v>58</v>
      </c>
      <c r="I701" s="3" t="s">
        <v>58</v>
      </c>
      <c r="J701" s="3" t="s">
        <v>59</v>
      </c>
      <c r="K701" s="3" t="s">
        <v>37</v>
      </c>
      <c r="L701" s="3" t="s">
        <v>61</v>
      </c>
      <c r="M701" s="3" t="s">
        <v>504</v>
      </c>
      <c r="N701" s="3" t="s">
        <v>1255</v>
      </c>
      <c r="O701" s="3" t="s">
        <v>248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>
        <v>24000</v>
      </c>
      <c r="AB701" s="3">
        <v>3000</v>
      </c>
      <c r="AC701" s="4">
        <v>43132</v>
      </c>
      <c r="AD701" s="3" t="s">
        <v>42</v>
      </c>
      <c r="AE701" s="3" t="s">
        <v>1374</v>
      </c>
      <c r="AF701" s="3">
        <v>240</v>
      </c>
    </row>
    <row r="702" spans="1:32" ht="27.95" x14ac:dyDescent="0.3">
      <c r="A702" s="5">
        <v>696</v>
      </c>
      <c r="B702" s="5" t="str">
        <f>"201800023793"</f>
        <v>201800023793</v>
      </c>
      <c r="C702" s="5" t="str">
        <f>"60870"</f>
        <v>60870</v>
      </c>
      <c r="D702" s="5" t="s">
        <v>3822</v>
      </c>
      <c r="E702" s="5">
        <v>20479898091</v>
      </c>
      <c r="F702" s="5" t="s">
        <v>3823</v>
      </c>
      <c r="G702" s="5" t="s">
        <v>3824</v>
      </c>
      <c r="H702" s="5" t="s">
        <v>36</v>
      </c>
      <c r="I702" s="5" t="s">
        <v>36</v>
      </c>
      <c r="J702" s="5" t="s">
        <v>36</v>
      </c>
      <c r="K702" s="5" t="s">
        <v>37</v>
      </c>
      <c r="L702" s="5" t="s">
        <v>3825</v>
      </c>
      <c r="M702" s="5" t="s">
        <v>3826</v>
      </c>
      <c r="N702" s="5" t="s">
        <v>368</v>
      </c>
      <c r="O702" s="5" t="s">
        <v>1153</v>
      </c>
      <c r="P702" s="5" t="s">
        <v>173</v>
      </c>
      <c r="Q702" s="5" t="s">
        <v>3825</v>
      </c>
      <c r="R702" s="5" t="s">
        <v>173</v>
      </c>
      <c r="S702" s="5" t="s">
        <v>3827</v>
      </c>
      <c r="T702" s="5"/>
      <c r="U702" s="5"/>
      <c r="V702" s="5"/>
      <c r="W702" s="5"/>
      <c r="X702" s="5"/>
      <c r="Y702" s="5"/>
      <c r="Z702" s="5"/>
      <c r="AA702" s="5">
        <v>18094</v>
      </c>
      <c r="AB702" s="5">
        <v>3950</v>
      </c>
      <c r="AC702" s="6">
        <v>43162</v>
      </c>
      <c r="AD702" s="5" t="s">
        <v>42</v>
      </c>
      <c r="AE702" s="5" t="s">
        <v>1821</v>
      </c>
      <c r="AF702" s="5">
        <v>0</v>
      </c>
    </row>
    <row r="703" spans="1:32" ht="27.95" x14ac:dyDescent="0.3">
      <c r="A703" s="3">
        <v>697</v>
      </c>
      <c r="B703" s="3" t="str">
        <f>"202000121646"</f>
        <v>202000121646</v>
      </c>
      <c r="C703" s="3" t="str">
        <f>"128100"</f>
        <v>128100</v>
      </c>
      <c r="D703" s="3" t="s">
        <v>3828</v>
      </c>
      <c r="E703" s="3">
        <v>20542593521</v>
      </c>
      <c r="F703" s="3" t="s">
        <v>3829</v>
      </c>
      <c r="G703" s="3" t="s">
        <v>3830</v>
      </c>
      <c r="H703" s="3" t="s">
        <v>125</v>
      </c>
      <c r="I703" s="3" t="s">
        <v>509</v>
      </c>
      <c r="J703" s="3" t="s">
        <v>1706</v>
      </c>
      <c r="K703" s="3" t="s">
        <v>37</v>
      </c>
      <c r="L703" s="3" t="s">
        <v>61</v>
      </c>
      <c r="M703" s="3" t="s">
        <v>3831</v>
      </c>
      <c r="N703" s="3" t="s">
        <v>94</v>
      </c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>
        <v>16000</v>
      </c>
      <c r="AB703" s="3">
        <v>5000</v>
      </c>
      <c r="AC703" s="4">
        <v>44089</v>
      </c>
      <c r="AD703" s="4">
        <v>44454</v>
      </c>
      <c r="AE703" s="3" t="s">
        <v>3832</v>
      </c>
      <c r="AF703" s="3">
        <v>720</v>
      </c>
    </row>
    <row r="704" spans="1:32" x14ac:dyDescent="0.3">
      <c r="A704" s="5">
        <v>698</v>
      </c>
      <c r="B704" s="5" t="str">
        <f>"201800000796"</f>
        <v>201800000796</v>
      </c>
      <c r="C704" s="5" t="str">
        <f>"129526"</f>
        <v>129526</v>
      </c>
      <c r="D704" s="5" t="s">
        <v>3833</v>
      </c>
      <c r="E704" s="5">
        <v>20600925467</v>
      </c>
      <c r="F704" s="5" t="s">
        <v>3834</v>
      </c>
      <c r="G704" s="5" t="s">
        <v>3835</v>
      </c>
      <c r="H704" s="5" t="s">
        <v>187</v>
      </c>
      <c r="I704" s="5" t="s">
        <v>2570</v>
      </c>
      <c r="J704" s="5" t="s">
        <v>2571</v>
      </c>
      <c r="K704" s="5" t="s">
        <v>37</v>
      </c>
      <c r="L704" s="5" t="s">
        <v>3836</v>
      </c>
      <c r="M704" s="5" t="s">
        <v>74</v>
      </c>
      <c r="N704" s="5" t="s">
        <v>296</v>
      </c>
      <c r="O704" s="5" t="s">
        <v>94</v>
      </c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>
        <v>7000</v>
      </c>
      <c r="AB704" s="5">
        <v>5000</v>
      </c>
      <c r="AC704" s="6">
        <v>43124</v>
      </c>
      <c r="AD704" s="5" t="s">
        <v>42</v>
      </c>
      <c r="AE704" s="5" t="s">
        <v>3146</v>
      </c>
      <c r="AF704" s="5">
        <v>720</v>
      </c>
    </row>
    <row r="705" spans="1:32" ht="27.95" x14ac:dyDescent="0.3">
      <c r="A705" s="3">
        <v>699</v>
      </c>
      <c r="B705" s="3" t="str">
        <f>"201800142983"</f>
        <v>201800142983</v>
      </c>
      <c r="C705" s="3" t="str">
        <f>"104389"</f>
        <v>104389</v>
      </c>
      <c r="D705" s="3" t="s">
        <v>3837</v>
      </c>
      <c r="E705" s="3">
        <v>20275873480</v>
      </c>
      <c r="F705" s="3" t="s">
        <v>695</v>
      </c>
      <c r="G705" s="3" t="s">
        <v>3838</v>
      </c>
      <c r="H705" s="3" t="s">
        <v>219</v>
      </c>
      <c r="I705" s="3" t="s">
        <v>220</v>
      </c>
      <c r="J705" s="3" t="s">
        <v>1729</v>
      </c>
      <c r="K705" s="3" t="s">
        <v>37</v>
      </c>
      <c r="L705" s="3" t="s">
        <v>102</v>
      </c>
      <c r="M705" s="3" t="s">
        <v>102</v>
      </c>
      <c r="N705" s="3" t="s">
        <v>102</v>
      </c>
      <c r="O705" s="3" t="s">
        <v>102</v>
      </c>
      <c r="P705" s="3" t="s">
        <v>754</v>
      </c>
      <c r="Q705" s="3" t="s">
        <v>238</v>
      </c>
      <c r="R705" s="3" t="s">
        <v>3839</v>
      </c>
      <c r="S705" s="3" t="s">
        <v>94</v>
      </c>
      <c r="T705" s="3"/>
      <c r="U705" s="3"/>
      <c r="V705" s="3"/>
      <c r="W705" s="3"/>
      <c r="X705" s="3"/>
      <c r="Y705" s="3"/>
      <c r="Z705" s="3"/>
      <c r="AA705" s="3">
        <v>24500</v>
      </c>
      <c r="AB705" s="3">
        <v>5000</v>
      </c>
      <c r="AC705" s="4">
        <v>43353</v>
      </c>
      <c r="AD705" s="3" t="s">
        <v>42</v>
      </c>
      <c r="AE705" s="3" t="s">
        <v>699</v>
      </c>
      <c r="AF705" s="3">
        <v>720</v>
      </c>
    </row>
    <row r="706" spans="1:32" x14ac:dyDescent="0.3">
      <c r="A706" s="5">
        <v>700</v>
      </c>
      <c r="B706" s="5" t="str">
        <f>"201800000792"</f>
        <v>201800000792</v>
      </c>
      <c r="C706" s="5" t="str">
        <f>"111916"</f>
        <v>111916</v>
      </c>
      <c r="D706" s="5" t="s">
        <v>3840</v>
      </c>
      <c r="E706" s="5">
        <v>20559992951</v>
      </c>
      <c r="F706" s="5" t="s">
        <v>3841</v>
      </c>
      <c r="G706" s="5" t="s">
        <v>3842</v>
      </c>
      <c r="H706" s="5" t="s">
        <v>219</v>
      </c>
      <c r="I706" s="5" t="s">
        <v>2027</v>
      </c>
      <c r="J706" s="5" t="s">
        <v>3843</v>
      </c>
      <c r="K706" s="5" t="s">
        <v>37</v>
      </c>
      <c r="L706" s="5" t="s">
        <v>3844</v>
      </c>
      <c r="M706" s="5" t="s">
        <v>3845</v>
      </c>
      <c r="N706" s="5" t="s">
        <v>3846</v>
      </c>
      <c r="O706" s="5" t="s">
        <v>3847</v>
      </c>
      <c r="P706" s="5" t="s">
        <v>94</v>
      </c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>
        <v>11551</v>
      </c>
      <c r="AB706" s="5">
        <v>5000</v>
      </c>
      <c r="AC706" s="6">
        <v>43111</v>
      </c>
      <c r="AD706" s="5" t="s">
        <v>42</v>
      </c>
      <c r="AE706" s="5" t="s">
        <v>3848</v>
      </c>
      <c r="AF706" s="5">
        <v>400</v>
      </c>
    </row>
    <row r="707" spans="1:32" x14ac:dyDescent="0.3">
      <c r="A707" s="3">
        <v>701</v>
      </c>
      <c r="B707" s="3" t="str">
        <f>"201200132589"</f>
        <v>201200132589</v>
      </c>
      <c r="C707" s="3" t="str">
        <f>"96869"</f>
        <v>96869</v>
      </c>
      <c r="D707" s="3" t="s">
        <v>3849</v>
      </c>
      <c r="E707" s="3">
        <v>20100032458</v>
      </c>
      <c r="F707" s="3" t="s">
        <v>3850</v>
      </c>
      <c r="G707" s="3" t="s">
        <v>3851</v>
      </c>
      <c r="H707" s="3" t="s">
        <v>58</v>
      </c>
      <c r="I707" s="3" t="s">
        <v>1108</v>
      </c>
      <c r="J707" s="3" t="s">
        <v>3852</v>
      </c>
      <c r="K707" s="3" t="s">
        <v>37</v>
      </c>
      <c r="L707" s="3" t="s">
        <v>593</v>
      </c>
      <c r="M707" s="3" t="s">
        <v>593</v>
      </c>
      <c r="N707" s="3" t="s">
        <v>593</v>
      </c>
      <c r="O707" s="3" t="s">
        <v>161</v>
      </c>
      <c r="P707" s="3" t="s">
        <v>263</v>
      </c>
      <c r="Q707" s="3" t="s">
        <v>1278</v>
      </c>
      <c r="R707" s="3" t="s">
        <v>120</v>
      </c>
      <c r="S707" s="3"/>
      <c r="T707" s="3"/>
      <c r="U707" s="3"/>
      <c r="V707" s="3"/>
      <c r="W707" s="3"/>
      <c r="X707" s="3"/>
      <c r="Y707" s="3"/>
      <c r="Z707" s="3"/>
      <c r="AA707" s="3">
        <v>36000</v>
      </c>
      <c r="AB707" s="3">
        <v>3500</v>
      </c>
      <c r="AC707" s="4">
        <v>41092</v>
      </c>
      <c r="AD707" s="3" t="s">
        <v>42</v>
      </c>
      <c r="AE707" s="3" t="s">
        <v>2871</v>
      </c>
      <c r="AF707" s="3">
        <v>480</v>
      </c>
    </row>
    <row r="708" spans="1:32" ht="55.9" x14ac:dyDescent="0.3">
      <c r="A708" s="5">
        <v>702</v>
      </c>
      <c r="B708" s="5" t="str">
        <f>"201900148528"</f>
        <v>201900148528</v>
      </c>
      <c r="C708" s="5" t="str">
        <f>"140915"</f>
        <v>140915</v>
      </c>
      <c r="D708" s="5" t="s">
        <v>3853</v>
      </c>
      <c r="E708" s="5">
        <v>20603376456</v>
      </c>
      <c r="F708" s="5" t="s">
        <v>3854</v>
      </c>
      <c r="G708" s="5" t="s">
        <v>3855</v>
      </c>
      <c r="H708" s="5" t="s">
        <v>219</v>
      </c>
      <c r="I708" s="5" t="s">
        <v>220</v>
      </c>
      <c r="J708" s="5" t="s">
        <v>302</v>
      </c>
      <c r="K708" s="5" t="s">
        <v>37</v>
      </c>
      <c r="L708" s="5" t="s">
        <v>166</v>
      </c>
      <c r="M708" s="5" t="s">
        <v>102</v>
      </c>
      <c r="N708" s="5" t="s">
        <v>51</v>
      </c>
      <c r="O708" s="5" t="s">
        <v>50</v>
      </c>
      <c r="P708" s="5" t="s">
        <v>743</v>
      </c>
      <c r="Q708" s="5" t="s">
        <v>66</v>
      </c>
      <c r="R708" s="5"/>
      <c r="S708" s="5"/>
      <c r="T708" s="5"/>
      <c r="U708" s="5"/>
      <c r="V708" s="5"/>
      <c r="W708" s="5"/>
      <c r="X708" s="5"/>
      <c r="Y708" s="5"/>
      <c r="Z708" s="5"/>
      <c r="AA708" s="5">
        <v>30000</v>
      </c>
      <c r="AB708" s="5">
        <v>4500</v>
      </c>
      <c r="AC708" s="6">
        <v>43720</v>
      </c>
      <c r="AD708" s="5" t="s">
        <v>42</v>
      </c>
      <c r="AE708" s="5" t="s">
        <v>3856</v>
      </c>
      <c r="AF708" s="5">
        <v>720</v>
      </c>
    </row>
    <row r="709" spans="1:32" ht="27.95" x14ac:dyDescent="0.3">
      <c r="A709" s="3">
        <v>703</v>
      </c>
      <c r="B709" s="3" t="str">
        <f>"201700126168"</f>
        <v>201700126168</v>
      </c>
      <c r="C709" s="3" t="str">
        <f>"18867"</f>
        <v>18867</v>
      </c>
      <c r="D709" s="3" t="s">
        <v>3857</v>
      </c>
      <c r="E709" s="3">
        <v>20503840121</v>
      </c>
      <c r="F709" s="3" t="s">
        <v>442</v>
      </c>
      <c r="G709" s="3" t="s">
        <v>3858</v>
      </c>
      <c r="H709" s="3" t="s">
        <v>58</v>
      </c>
      <c r="I709" s="3" t="s">
        <v>823</v>
      </c>
      <c r="J709" s="3" t="s">
        <v>2916</v>
      </c>
      <c r="K709" s="3" t="s">
        <v>37</v>
      </c>
      <c r="L709" s="3" t="s">
        <v>161</v>
      </c>
      <c r="M709" s="3" t="s">
        <v>72</v>
      </c>
      <c r="N709" s="3" t="s">
        <v>263</v>
      </c>
      <c r="O709" s="3" t="s">
        <v>171</v>
      </c>
      <c r="P709" s="3" t="s">
        <v>404</v>
      </c>
      <c r="Q709" s="3" t="s">
        <v>398</v>
      </c>
      <c r="R709" s="3" t="s">
        <v>78</v>
      </c>
      <c r="S709" s="3"/>
      <c r="T709" s="3"/>
      <c r="U709" s="3"/>
      <c r="V709" s="3"/>
      <c r="W709" s="3"/>
      <c r="X709" s="3"/>
      <c r="Y709" s="3"/>
      <c r="Z709" s="3"/>
      <c r="AA709" s="3">
        <v>31000</v>
      </c>
      <c r="AB709" s="3">
        <v>3200</v>
      </c>
      <c r="AC709" s="4">
        <v>42958</v>
      </c>
      <c r="AD709" s="3" t="s">
        <v>42</v>
      </c>
      <c r="AE709" s="3" t="s">
        <v>399</v>
      </c>
      <c r="AF709" s="3">
        <v>0</v>
      </c>
    </row>
    <row r="710" spans="1:32" ht="27.95" x14ac:dyDescent="0.3">
      <c r="A710" s="5">
        <v>704</v>
      </c>
      <c r="B710" s="5" t="str">
        <f>"201800156554"</f>
        <v>201800156554</v>
      </c>
      <c r="C710" s="5" t="str">
        <f>"8224"</f>
        <v>8224</v>
      </c>
      <c r="D710" s="5" t="s">
        <v>3859</v>
      </c>
      <c r="E710" s="5">
        <v>20565643496</v>
      </c>
      <c r="F710" s="5" t="s">
        <v>307</v>
      </c>
      <c r="G710" s="5" t="s">
        <v>3860</v>
      </c>
      <c r="H710" s="5" t="s">
        <v>58</v>
      </c>
      <c r="I710" s="5" t="s">
        <v>58</v>
      </c>
      <c r="J710" s="5" t="s">
        <v>3861</v>
      </c>
      <c r="K710" s="5" t="s">
        <v>37</v>
      </c>
      <c r="L710" s="5" t="s">
        <v>397</v>
      </c>
      <c r="M710" s="5" t="s">
        <v>1078</v>
      </c>
      <c r="N710" s="5" t="s">
        <v>166</v>
      </c>
      <c r="O710" s="5" t="s">
        <v>232</v>
      </c>
      <c r="P710" s="5" t="s">
        <v>397</v>
      </c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>
        <v>40000</v>
      </c>
      <c r="AB710" s="5">
        <v>3200</v>
      </c>
      <c r="AC710" s="6">
        <v>43364</v>
      </c>
      <c r="AD710" s="5" t="s">
        <v>42</v>
      </c>
      <c r="AE710" s="5" t="s">
        <v>3862</v>
      </c>
      <c r="AF710" s="5">
        <v>0</v>
      </c>
    </row>
    <row r="711" spans="1:32" ht="27.95" x14ac:dyDescent="0.3">
      <c r="A711" s="3">
        <v>705</v>
      </c>
      <c r="B711" s="3" t="str">
        <f>"1449180"</f>
        <v>1449180</v>
      </c>
      <c r="C711" s="3" t="str">
        <f>"44703"</f>
        <v>44703</v>
      </c>
      <c r="D711" s="3" t="s">
        <v>3863</v>
      </c>
      <c r="E711" s="3">
        <v>20512026517</v>
      </c>
      <c r="F711" s="3" t="s">
        <v>3864</v>
      </c>
      <c r="G711" s="3" t="s">
        <v>3865</v>
      </c>
      <c r="H711" s="3" t="s">
        <v>58</v>
      </c>
      <c r="I711" s="3" t="s">
        <v>58</v>
      </c>
      <c r="J711" s="3" t="s">
        <v>59</v>
      </c>
      <c r="K711" s="3" t="s">
        <v>37</v>
      </c>
      <c r="L711" s="3" t="s">
        <v>3866</v>
      </c>
      <c r="M711" s="3" t="s">
        <v>3867</v>
      </c>
      <c r="N711" s="3" t="s">
        <v>3868</v>
      </c>
      <c r="O711" s="3" t="s">
        <v>3869</v>
      </c>
      <c r="P711" s="3" t="s">
        <v>381</v>
      </c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>
        <v>20141</v>
      </c>
      <c r="AB711" s="3">
        <v>2000</v>
      </c>
      <c r="AC711" s="4">
        <v>40515</v>
      </c>
      <c r="AD711" s="3" t="s">
        <v>42</v>
      </c>
      <c r="AE711" s="3" t="s">
        <v>3870</v>
      </c>
      <c r="AF711" s="3">
        <v>0</v>
      </c>
    </row>
    <row r="712" spans="1:32" ht="27.95" x14ac:dyDescent="0.3">
      <c r="A712" s="5">
        <v>706</v>
      </c>
      <c r="B712" s="5" t="str">
        <f>"201800110098"</f>
        <v>201800110098</v>
      </c>
      <c r="C712" s="5" t="str">
        <f>"126987"</f>
        <v>126987</v>
      </c>
      <c r="D712" s="5" t="s">
        <v>3871</v>
      </c>
      <c r="E712" s="5">
        <v>20600357981</v>
      </c>
      <c r="F712" s="5" t="s">
        <v>3872</v>
      </c>
      <c r="G712" s="5" t="s">
        <v>3873</v>
      </c>
      <c r="H712" s="5" t="s">
        <v>656</v>
      </c>
      <c r="I712" s="5" t="s">
        <v>656</v>
      </c>
      <c r="J712" s="5" t="s">
        <v>657</v>
      </c>
      <c r="K712" s="5" t="s">
        <v>37</v>
      </c>
      <c r="L712" s="5" t="s">
        <v>1739</v>
      </c>
      <c r="M712" s="5" t="s">
        <v>2939</v>
      </c>
      <c r="N712" s="5" t="s">
        <v>1530</v>
      </c>
      <c r="O712" s="5" t="s">
        <v>313</v>
      </c>
      <c r="P712" s="5" t="s">
        <v>94</v>
      </c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>
        <v>22200</v>
      </c>
      <c r="AB712" s="5">
        <v>5000</v>
      </c>
      <c r="AC712" s="6">
        <v>43285</v>
      </c>
      <c r="AD712" s="5" t="s">
        <v>42</v>
      </c>
      <c r="AE712" s="5" t="s">
        <v>3874</v>
      </c>
      <c r="AF712" s="5">
        <v>0</v>
      </c>
    </row>
    <row r="713" spans="1:32" ht="27.95" x14ac:dyDescent="0.3">
      <c r="A713" s="3">
        <v>707</v>
      </c>
      <c r="B713" s="3" t="str">
        <f>"201900049958"</f>
        <v>201900049958</v>
      </c>
      <c r="C713" s="3" t="str">
        <f>"45330"</f>
        <v>45330</v>
      </c>
      <c r="D713" s="3" t="s">
        <v>3875</v>
      </c>
      <c r="E713" s="3">
        <v>20127765279</v>
      </c>
      <c r="F713" s="3" t="s">
        <v>1115</v>
      </c>
      <c r="G713" s="3" t="s">
        <v>3876</v>
      </c>
      <c r="H713" s="3" t="s">
        <v>116</v>
      </c>
      <c r="I713" s="3" t="s">
        <v>339</v>
      </c>
      <c r="J713" s="3" t="s">
        <v>612</v>
      </c>
      <c r="K713" s="3" t="s">
        <v>37</v>
      </c>
      <c r="L713" s="3" t="s">
        <v>3877</v>
      </c>
      <c r="M713" s="3" t="s">
        <v>172</v>
      </c>
      <c r="N713" s="3" t="s">
        <v>171</v>
      </c>
      <c r="O713" s="3" t="s">
        <v>103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>
        <v>12000</v>
      </c>
      <c r="AB713" s="3">
        <v>2500</v>
      </c>
      <c r="AC713" s="4">
        <v>43552</v>
      </c>
      <c r="AD713" s="3" t="s">
        <v>42</v>
      </c>
      <c r="AE713" s="3" t="s">
        <v>279</v>
      </c>
      <c r="AF713" s="3">
        <v>0</v>
      </c>
    </row>
    <row r="714" spans="1:32" ht="27.95" x14ac:dyDescent="0.3">
      <c r="A714" s="5">
        <v>708</v>
      </c>
      <c r="B714" s="5" t="str">
        <f>"202000086520"</f>
        <v>202000086520</v>
      </c>
      <c r="C714" s="5" t="str">
        <f>"92165"</f>
        <v>92165</v>
      </c>
      <c r="D714" s="5" t="s">
        <v>3878</v>
      </c>
      <c r="E714" s="5">
        <v>20530552145</v>
      </c>
      <c r="F714" s="5" t="s">
        <v>3879</v>
      </c>
      <c r="G714" s="5" t="s">
        <v>3880</v>
      </c>
      <c r="H714" s="5" t="s">
        <v>58</v>
      </c>
      <c r="I714" s="5" t="s">
        <v>498</v>
      </c>
      <c r="J714" s="5" t="s">
        <v>1981</v>
      </c>
      <c r="K714" s="5" t="s">
        <v>37</v>
      </c>
      <c r="L714" s="5" t="s">
        <v>172</v>
      </c>
      <c r="M714" s="5" t="s">
        <v>419</v>
      </c>
      <c r="N714" s="5" t="s">
        <v>3881</v>
      </c>
      <c r="O714" s="5" t="s">
        <v>248</v>
      </c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>
        <v>12000</v>
      </c>
      <c r="AB714" s="5">
        <v>3000</v>
      </c>
      <c r="AC714" s="6">
        <v>44047</v>
      </c>
      <c r="AD714" s="5" t="s">
        <v>42</v>
      </c>
      <c r="AE714" s="5" t="s">
        <v>3387</v>
      </c>
      <c r="AF714" s="5">
        <v>480</v>
      </c>
    </row>
    <row r="715" spans="1:32" x14ac:dyDescent="0.3">
      <c r="A715" s="3">
        <v>709</v>
      </c>
      <c r="B715" s="3" t="str">
        <f>"201700034937"</f>
        <v>201700034937</v>
      </c>
      <c r="C715" s="3" t="str">
        <f>"40659"</f>
        <v>40659</v>
      </c>
      <c r="D715" s="3" t="s">
        <v>3882</v>
      </c>
      <c r="E715" s="3">
        <v>20486109603</v>
      </c>
      <c r="F715" s="3" t="s">
        <v>3883</v>
      </c>
      <c r="G715" s="3" t="s">
        <v>3884</v>
      </c>
      <c r="H715" s="3" t="s">
        <v>108</v>
      </c>
      <c r="I715" s="3" t="s">
        <v>647</v>
      </c>
      <c r="J715" s="3" t="s">
        <v>846</v>
      </c>
      <c r="K715" s="3" t="s">
        <v>37</v>
      </c>
      <c r="L715" s="3" t="s">
        <v>110</v>
      </c>
      <c r="M715" s="3" t="s">
        <v>683</v>
      </c>
      <c r="N715" s="3" t="s">
        <v>669</v>
      </c>
      <c r="O715" s="3" t="s">
        <v>77</v>
      </c>
      <c r="P715" s="3" t="s">
        <v>94</v>
      </c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>
        <v>21500</v>
      </c>
      <c r="AB715" s="3">
        <v>5000</v>
      </c>
      <c r="AC715" s="4">
        <v>42808</v>
      </c>
      <c r="AD715" s="3" t="s">
        <v>42</v>
      </c>
      <c r="AE715" s="3" t="s">
        <v>3885</v>
      </c>
      <c r="AF715" s="3">
        <v>0</v>
      </c>
    </row>
    <row r="716" spans="1:32" ht="27.95" x14ac:dyDescent="0.3">
      <c r="A716" s="5">
        <v>710</v>
      </c>
      <c r="B716" s="5" t="str">
        <f>"201900022071"</f>
        <v>201900022071</v>
      </c>
      <c r="C716" s="5" t="str">
        <f>"21037"</f>
        <v>21037</v>
      </c>
      <c r="D716" s="5" t="s">
        <v>3886</v>
      </c>
      <c r="E716" s="5">
        <v>20451607180</v>
      </c>
      <c r="F716" s="5" t="s">
        <v>3887</v>
      </c>
      <c r="G716" s="5" t="s">
        <v>3888</v>
      </c>
      <c r="H716" s="5" t="s">
        <v>58</v>
      </c>
      <c r="I716" s="5" t="s">
        <v>823</v>
      </c>
      <c r="J716" s="5" t="s">
        <v>824</v>
      </c>
      <c r="K716" s="5" t="s">
        <v>37</v>
      </c>
      <c r="L716" s="5" t="s">
        <v>2053</v>
      </c>
      <c r="M716" s="5" t="s">
        <v>63</v>
      </c>
      <c r="N716" s="5" t="s">
        <v>380</v>
      </c>
      <c r="O716" s="5" t="s">
        <v>94</v>
      </c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>
        <v>22000</v>
      </c>
      <c r="AB716" s="5">
        <v>5000</v>
      </c>
      <c r="AC716" s="6">
        <v>43507</v>
      </c>
      <c r="AD716" s="5" t="s">
        <v>42</v>
      </c>
      <c r="AE716" s="5" t="s">
        <v>3889</v>
      </c>
      <c r="AF716" s="5">
        <v>720</v>
      </c>
    </row>
    <row r="717" spans="1:32" ht="27.95" x14ac:dyDescent="0.3">
      <c r="A717" s="3">
        <v>711</v>
      </c>
      <c r="B717" s="3" t="str">
        <f>"202000093190"</f>
        <v>202000093190</v>
      </c>
      <c r="C717" s="3" t="str">
        <f>"19868"</f>
        <v>19868</v>
      </c>
      <c r="D717" s="3" t="s">
        <v>3890</v>
      </c>
      <c r="E717" s="3">
        <v>20453422632</v>
      </c>
      <c r="F717" s="3" t="s">
        <v>3891</v>
      </c>
      <c r="G717" s="3" t="s">
        <v>3892</v>
      </c>
      <c r="H717" s="3" t="s">
        <v>134</v>
      </c>
      <c r="I717" s="3" t="s">
        <v>3893</v>
      </c>
      <c r="J717" s="3" t="s">
        <v>3894</v>
      </c>
      <c r="K717" s="3" t="s">
        <v>37</v>
      </c>
      <c r="L717" s="3" t="s">
        <v>238</v>
      </c>
      <c r="M717" s="3" t="s">
        <v>238</v>
      </c>
      <c r="N717" s="3" t="s">
        <v>63</v>
      </c>
      <c r="O717" s="3" t="s">
        <v>247</v>
      </c>
      <c r="P717" s="3" t="s">
        <v>78</v>
      </c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>
        <v>12000</v>
      </c>
      <c r="AB717" s="3">
        <v>3200</v>
      </c>
      <c r="AC717" s="4">
        <v>44047</v>
      </c>
      <c r="AD717" s="3" t="s">
        <v>42</v>
      </c>
      <c r="AE717" s="3" t="s">
        <v>3895</v>
      </c>
      <c r="AF717" s="3">
        <v>0</v>
      </c>
    </row>
    <row r="718" spans="1:32" x14ac:dyDescent="0.3">
      <c r="A718" s="5">
        <v>712</v>
      </c>
      <c r="B718" s="5" t="str">
        <f>"201700135811"</f>
        <v>201700135811</v>
      </c>
      <c r="C718" s="5" t="str">
        <f>"41777"</f>
        <v>41777</v>
      </c>
      <c r="D718" s="5" t="s">
        <v>3896</v>
      </c>
      <c r="E718" s="5">
        <v>20542251051</v>
      </c>
      <c r="F718" s="5" t="s">
        <v>3897</v>
      </c>
      <c r="G718" s="5" t="s">
        <v>3898</v>
      </c>
      <c r="H718" s="5" t="s">
        <v>150</v>
      </c>
      <c r="I718" s="5" t="s">
        <v>151</v>
      </c>
      <c r="J718" s="5" t="s">
        <v>151</v>
      </c>
      <c r="K718" s="5" t="s">
        <v>37</v>
      </c>
      <c r="L718" s="5" t="s">
        <v>1001</v>
      </c>
      <c r="M718" s="5" t="s">
        <v>2835</v>
      </c>
      <c r="N718" s="5" t="s">
        <v>2834</v>
      </c>
      <c r="O718" s="5" t="s">
        <v>165</v>
      </c>
      <c r="P718" s="5" t="s">
        <v>3899</v>
      </c>
      <c r="Q718" s="5" t="s">
        <v>94</v>
      </c>
      <c r="R718" s="5"/>
      <c r="S718" s="5"/>
      <c r="T718" s="5"/>
      <c r="U718" s="5"/>
      <c r="V718" s="5"/>
      <c r="W718" s="5"/>
      <c r="X718" s="5"/>
      <c r="Y718" s="5"/>
      <c r="Z718" s="5"/>
      <c r="AA718" s="5">
        <v>40000</v>
      </c>
      <c r="AB718" s="5">
        <v>5000</v>
      </c>
      <c r="AC718" s="6">
        <v>42986</v>
      </c>
      <c r="AD718" s="5" t="s">
        <v>42</v>
      </c>
      <c r="AE718" s="5" t="s">
        <v>3900</v>
      </c>
      <c r="AF718" s="5">
        <v>0</v>
      </c>
    </row>
    <row r="719" spans="1:32" x14ac:dyDescent="0.3">
      <c r="A719" s="3">
        <v>713</v>
      </c>
      <c r="B719" s="3" t="str">
        <f>"201900059389"</f>
        <v>201900059389</v>
      </c>
      <c r="C719" s="3" t="str">
        <f>"7661"</f>
        <v>7661</v>
      </c>
      <c r="D719" s="3" t="s">
        <v>3901</v>
      </c>
      <c r="E719" s="3">
        <v>20127765279</v>
      </c>
      <c r="F719" s="3" t="s">
        <v>1115</v>
      </c>
      <c r="G719" s="3" t="s">
        <v>3902</v>
      </c>
      <c r="H719" s="3" t="s">
        <v>36</v>
      </c>
      <c r="I719" s="3" t="s">
        <v>409</v>
      </c>
      <c r="J719" s="3" t="s">
        <v>409</v>
      </c>
      <c r="K719" s="3" t="s">
        <v>37</v>
      </c>
      <c r="L719" s="3" t="s">
        <v>172</v>
      </c>
      <c r="M719" s="3" t="s">
        <v>3663</v>
      </c>
      <c r="N719" s="3" t="s">
        <v>1154</v>
      </c>
      <c r="O719" s="3" t="s">
        <v>62</v>
      </c>
      <c r="P719" s="3" t="s">
        <v>103</v>
      </c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>
        <v>16000</v>
      </c>
      <c r="AB719" s="3">
        <v>2500</v>
      </c>
      <c r="AC719" s="4">
        <v>43565</v>
      </c>
      <c r="AD719" s="3" t="s">
        <v>42</v>
      </c>
      <c r="AE719" s="3" t="s">
        <v>279</v>
      </c>
      <c r="AF719" s="3">
        <v>0</v>
      </c>
    </row>
    <row r="720" spans="1:32" ht="41.95" x14ac:dyDescent="0.3">
      <c r="A720" s="5">
        <v>714</v>
      </c>
      <c r="B720" s="5" t="str">
        <f>"201900075397"</f>
        <v>201900075397</v>
      </c>
      <c r="C720" s="5" t="str">
        <f>"45240"</f>
        <v>45240</v>
      </c>
      <c r="D720" s="5" t="s">
        <v>3903</v>
      </c>
      <c r="E720" s="5">
        <v>20530682197</v>
      </c>
      <c r="F720" s="5" t="s">
        <v>1311</v>
      </c>
      <c r="G720" s="5" t="s">
        <v>3904</v>
      </c>
      <c r="H720" s="5" t="s">
        <v>58</v>
      </c>
      <c r="I720" s="5" t="s">
        <v>58</v>
      </c>
      <c r="J720" s="5" t="s">
        <v>1026</v>
      </c>
      <c r="K720" s="5" t="s">
        <v>37</v>
      </c>
      <c r="L720" s="5" t="s">
        <v>3905</v>
      </c>
      <c r="M720" s="5" t="s">
        <v>174</v>
      </c>
      <c r="N720" s="5" t="s">
        <v>3906</v>
      </c>
      <c r="O720" s="5" t="s">
        <v>3907</v>
      </c>
      <c r="P720" s="5" t="s">
        <v>3908</v>
      </c>
      <c r="Q720" s="5" t="s">
        <v>103</v>
      </c>
      <c r="R720" s="5"/>
      <c r="S720" s="5"/>
      <c r="T720" s="5"/>
      <c r="U720" s="5"/>
      <c r="V720" s="5"/>
      <c r="W720" s="5"/>
      <c r="X720" s="5"/>
      <c r="Y720" s="5"/>
      <c r="Z720" s="5"/>
      <c r="AA720" s="5">
        <v>18600</v>
      </c>
      <c r="AB720" s="5">
        <v>2500</v>
      </c>
      <c r="AC720" s="6">
        <v>43600</v>
      </c>
      <c r="AD720" s="5" t="s">
        <v>42</v>
      </c>
      <c r="AE720" s="5" t="s">
        <v>1318</v>
      </c>
      <c r="AF720" s="5">
        <v>0</v>
      </c>
    </row>
    <row r="721" spans="1:32" ht="41.95" x14ac:dyDescent="0.3">
      <c r="A721" s="3">
        <v>715</v>
      </c>
      <c r="B721" s="3" t="str">
        <f>"201900090264"</f>
        <v>201900090264</v>
      </c>
      <c r="C721" s="3" t="str">
        <f>"84657"</f>
        <v>84657</v>
      </c>
      <c r="D721" s="3" t="s">
        <v>3909</v>
      </c>
      <c r="E721" s="3">
        <v>20514636843</v>
      </c>
      <c r="F721" s="3" t="s">
        <v>1553</v>
      </c>
      <c r="G721" s="3" t="s">
        <v>3910</v>
      </c>
      <c r="H721" s="3" t="s">
        <v>219</v>
      </c>
      <c r="I721" s="3" t="s">
        <v>568</v>
      </c>
      <c r="J721" s="3" t="s">
        <v>3911</v>
      </c>
      <c r="K721" s="3" t="s">
        <v>37</v>
      </c>
      <c r="L721" s="3" t="s">
        <v>3912</v>
      </c>
      <c r="M721" s="3" t="s">
        <v>63</v>
      </c>
      <c r="N721" s="3" t="s">
        <v>154</v>
      </c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>
        <v>12000</v>
      </c>
      <c r="AB721" s="3">
        <v>6000</v>
      </c>
      <c r="AC721" s="4">
        <v>43657</v>
      </c>
      <c r="AD721" s="3" t="s">
        <v>42</v>
      </c>
      <c r="AE721" s="3" t="s">
        <v>1555</v>
      </c>
      <c r="AF721" s="3">
        <v>0</v>
      </c>
    </row>
    <row r="722" spans="1:32" ht="27.95" x14ac:dyDescent="0.3">
      <c r="A722" s="5">
        <v>716</v>
      </c>
      <c r="B722" s="5" t="str">
        <f>"201700050301"</f>
        <v>201700050301</v>
      </c>
      <c r="C722" s="5" t="str">
        <f>"7320"</f>
        <v>7320</v>
      </c>
      <c r="D722" s="5" t="s">
        <v>3913</v>
      </c>
      <c r="E722" s="5">
        <v>20509145424</v>
      </c>
      <c r="F722" s="5" t="s">
        <v>3914</v>
      </c>
      <c r="G722" s="5" t="s">
        <v>3915</v>
      </c>
      <c r="H722" s="5" t="s">
        <v>58</v>
      </c>
      <c r="I722" s="5" t="s">
        <v>58</v>
      </c>
      <c r="J722" s="5" t="s">
        <v>99</v>
      </c>
      <c r="K722" s="5" t="s">
        <v>37</v>
      </c>
      <c r="L722" s="5" t="s">
        <v>172</v>
      </c>
      <c r="M722" s="5" t="s">
        <v>3916</v>
      </c>
      <c r="N722" s="5" t="s">
        <v>161</v>
      </c>
      <c r="O722" s="5" t="s">
        <v>63</v>
      </c>
      <c r="P722" s="5" t="s">
        <v>248</v>
      </c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>
        <v>22000</v>
      </c>
      <c r="AB722" s="5">
        <v>3000</v>
      </c>
      <c r="AC722" s="6">
        <v>42835</v>
      </c>
      <c r="AD722" s="5" t="s">
        <v>42</v>
      </c>
      <c r="AE722" s="5" t="s">
        <v>3917</v>
      </c>
      <c r="AF722" s="5">
        <v>0</v>
      </c>
    </row>
    <row r="723" spans="1:32" ht="27.95" x14ac:dyDescent="0.3">
      <c r="A723" s="3">
        <v>717</v>
      </c>
      <c r="B723" s="3" t="str">
        <f>"202000058818"</f>
        <v>202000058818</v>
      </c>
      <c r="C723" s="3" t="str">
        <f>"91213"</f>
        <v>91213</v>
      </c>
      <c r="D723" s="3" t="s">
        <v>3918</v>
      </c>
      <c r="E723" s="3">
        <v>20508416009</v>
      </c>
      <c r="F723" s="3" t="s">
        <v>3919</v>
      </c>
      <c r="G723" s="3" t="s">
        <v>3920</v>
      </c>
      <c r="H723" s="3" t="s">
        <v>187</v>
      </c>
      <c r="I723" s="3" t="s">
        <v>2570</v>
      </c>
      <c r="J723" s="3" t="s">
        <v>2570</v>
      </c>
      <c r="K723" s="3" t="s">
        <v>37</v>
      </c>
      <c r="L723" s="3" t="s">
        <v>172</v>
      </c>
      <c r="M723" s="3" t="s">
        <v>1323</v>
      </c>
      <c r="N723" s="3" t="s">
        <v>381</v>
      </c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>
        <v>8000</v>
      </c>
      <c r="AB723" s="3">
        <v>2000</v>
      </c>
      <c r="AC723" s="4">
        <v>43974</v>
      </c>
      <c r="AD723" s="3" t="s">
        <v>42</v>
      </c>
      <c r="AE723" s="3" t="s">
        <v>3921</v>
      </c>
      <c r="AF723" s="3">
        <v>480</v>
      </c>
    </row>
    <row r="724" spans="1:32" ht="41.95" x14ac:dyDescent="0.3">
      <c r="A724" s="5">
        <v>718</v>
      </c>
      <c r="B724" s="5" t="str">
        <f>"201200146044"</f>
        <v>201200146044</v>
      </c>
      <c r="C724" s="5" t="str">
        <f>"42453"</f>
        <v>42453</v>
      </c>
      <c r="D724" s="5" t="s">
        <v>3922</v>
      </c>
      <c r="E724" s="5">
        <v>20530582133</v>
      </c>
      <c r="F724" s="5" t="s">
        <v>3923</v>
      </c>
      <c r="G724" s="5" t="s">
        <v>3924</v>
      </c>
      <c r="H724" s="5" t="s">
        <v>58</v>
      </c>
      <c r="I724" s="5" t="s">
        <v>498</v>
      </c>
      <c r="J724" s="5" t="s">
        <v>988</v>
      </c>
      <c r="K724" s="5" t="s">
        <v>37</v>
      </c>
      <c r="L724" s="5" t="s">
        <v>3925</v>
      </c>
      <c r="M724" s="5" t="s">
        <v>3926</v>
      </c>
      <c r="N724" s="5" t="s">
        <v>248</v>
      </c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>
        <v>16000</v>
      </c>
      <c r="AB724" s="5">
        <v>3000</v>
      </c>
      <c r="AC724" s="6">
        <v>41144</v>
      </c>
      <c r="AD724" s="5" t="s">
        <v>42</v>
      </c>
      <c r="AE724" s="5" t="s">
        <v>3927</v>
      </c>
      <c r="AF724" s="5">
        <v>120</v>
      </c>
    </row>
    <row r="725" spans="1:32" ht="27.95" x14ac:dyDescent="0.3">
      <c r="A725" s="3">
        <v>719</v>
      </c>
      <c r="B725" s="3" t="str">
        <f>"201600136813"</f>
        <v>201600136813</v>
      </c>
      <c r="C725" s="3" t="str">
        <f>"114077"</f>
        <v>114077</v>
      </c>
      <c r="D725" s="3" t="s">
        <v>3928</v>
      </c>
      <c r="E725" s="3">
        <v>20367525135</v>
      </c>
      <c r="F725" s="3" t="s">
        <v>3929</v>
      </c>
      <c r="G725" s="3" t="s">
        <v>3930</v>
      </c>
      <c r="H725" s="3" t="s">
        <v>47</v>
      </c>
      <c r="I725" s="3" t="s">
        <v>159</v>
      </c>
      <c r="J725" s="3" t="s">
        <v>160</v>
      </c>
      <c r="K725" s="3" t="s">
        <v>37</v>
      </c>
      <c r="L725" s="3" t="s">
        <v>3931</v>
      </c>
      <c r="M725" s="3" t="s">
        <v>3932</v>
      </c>
      <c r="N725" s="3" t="s">
        <v>390</v>
      </c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>
        <v>20000</v>
      </c>
      <c r="AB725" s="3">
        <v>5200</v>
      </c>
      <c r="AC725" s="4">
        <v>42633</v>
      </c>
      <c r="AD725" s="3" t="s">
        <v>42</v>
      </c>
      <c r="AE725" s="3" t="s">
        <v>167</v>
      </c>
      <c r="AF725" s="3">
        <v>0</v>
      </c>
    </row>
    <row r="726" spans="1:32" ht="27.95" x14ac:dyDescent="0.3">
      <c r="A726" s="5">
        <v>720</v>
      </c>
      <c r="B726" s="5" t="str">
        <f>"202000056695"</f>
        <v>202000056695</v>
      </c>
      <c r="C726" s="5" t="str">
        <f>"36824"</f>
        <v>36824</v>
      </c>
      <c r="D726" s="5" t="s">
        <v>3933</v>
      </c>
      <c r="E726" s="5">
        <v>20441636831</v>
      </c>
      <c r="F726" s="5" t="s">
        <v>3934</v>
      </c>
      <c r="G726" s="5" t="s">
        <v>3935</v>
      </c>
      <c r="H726" s="5" t="s">
        <v>187</v>
      </c>
      <c r="I726" s="5" t="s">
        <v>210</v>
      </c>
      <c r="J726" s="5" t="s">
        <v>3936</v>
      </c>
      <c r="K726" s="5" t="s">
        <v>37</v>
      </c>
      <c r="L726" s="5" t="s">
        <v>459</v>
      </c>
      <c r="M726" s="5" t="s">
        <v>3937</v>
      </c>
      <c r="N726" s="5" t="s">
        <v>3938</v>
      </c>
      <c r="O726" s="5" t="s">
        <v>555</v>
      </c>
      <c r="P726" s="5" t="s">
        <v>3939</v>
      </c>
      <c r="Q726" s="5" t="s">
        <v>719</v>
      </c>
      <c r="R726" s="5" t="s">
        <v>3940</v>
      </c>
      <c r="S726" s="5" t="s">
        <v>248</v>
      </c>
      <c r="T726" s="5"/>
      <c r="U726" s="5"/>
      <c r="V726" s="5"/>
      <c r="W726" s="5"/>
      <c r="X726" s="5"/>
      <c r="Y726" s="5"/>
      <c r="Z726" s="5"/>
      <c r="AA726" s="5">
        <v>37140</v>
      </c>
      <c r="AB726" s="5">
        <v>3000</v>
      </c>
      <c r="AC726" s="6">
        <v>43969</v>
      </c>
      <c r="AD726" s="5" t="s">
        <v>42</v>
      </c>
      <c r="AE726" s="5" t="s">
        <v>3941</v>
      </c>
      <c r="AF726" s="5">
        <v>720</v>
      </c>
    </row>
    <row r="727" spans="1:32" ht="27.95" x14ac:dyDescent="0.3">
      <c r="A727" s="3">
        <v>721</v>
      </c>
      <c r="B727" s="3" t="str">
        <f>"201900167369"</f>
        <v>201900167369</v>
      </c>
      <c r="C727" s="3" t="str">
        <f>"147134"</f>
        <v>147134</v>
      </c>
      <c r="D727" s="3" t="s">
        <v>3942</v>
      </c>
      <c r="E727" s="3">
        <v>20601723451</v>
      </c>
      <c r="F727" s="3" t="s">
        <v>3943</v>
      </c>
      <c r="G727" s="3" t="s">
        <v>3944</v>
      </c>
      <c r="H727" s="3" t="s">
        <v>89</v>
      </c>
      <c r="I727" s="3" t="s">
        <v>2084</v>
      </c>
      <c r="J727" s="3" t="s">
        <v>2085</v>
      </c>
      <c r="K727" s="3" t="s">
        <v>37</v>
      </c>
      <c r="L727" s="3" t="s">
        <v>166</v>
      </c>
      <c r="M727" s="3" t="s">
        <v>2295</v>
      </c>
      <c r="N727" s="3" t="s">
        <v>41</v>
      </c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>
        <v>20000</v>
      </c>
      <c r="AB727" s="3">
        <v>10000</v>
      </c>
      <c r="AC727" s="4">
        <v>43756</v>
      </c>
      <c r="AD727" s="3" t="s">
        <v>42</v>
      </c>
      <c r="AE727" s="3" t="s">
        <v>95</v>
      </c>
      <c r="AF727" s="3">
        <v>0</v>
      </c>
    </row>
    <row r="728" spans="1:32" ht="27.95" x14ac:dyDescent="0.3">
      <c r="A728" s="5">
        <v>722</v>
      </c>
      <c r="B728" s="5" t="str">
        <f>"201800074422"</f>
        <v>201800074422</v>
      </c>
      <c r="C728" s="5" t="str">
        <f>"7368"</f>
        <v>7368</v>
      </c>
      <c r="D728" s="5" t="s">
        <v>3945</v>
      </c>
      <c r="E728" s="5">
        <v>20479872962</v>
      </c>
      <c r="F728" s="5" t="s">
        <v>3946</v>
      </c>
      <c r="G728" s="5" t="s">
        <v>3947</v>
      </c>
      <c r="H728" s="5" t="s">
        <v>36</v>
      </c>
      <c r="I728" s="5" t="s">
        <v>36</v>
      </c>
      <c r="J728" s="5" t="s">
        <v>761</v>
      </c>
      <c r="K728" s="5" t="s">
        <v>37</v>
      </c>
      <c r="L728" s="5" t="s">
        <v>172</v>
      </c>
      <c r="M728" s="5" t="s">
        <v>3948</v>
      </c>
      <c r="N728" s="5" t="s">
        <v>1323</v>
      </c>
      <c r="O728" s="5" t="s">
        <v>54</v>
      </c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>
        <v>14500</v>
      </c>
      <c r="AB728" s="5">
        <v>4000</v>
      </c>
      <c r="AC728" s="6">
        <v>43236</v>
      </c>
      <c r="AD728" s="5" t="s">
        <v>42</v>
      </c>
      <c r="AE728" s="5" t="s">
        <v>3949</v>
      </c>
      <c r="AF728" s="5">
        <v>0</v>
      </c>
    </row>
    <row r="729" spans="1:32" ht="27.95" x14ac:dyDescent="0.3">
      <c r="A729" s="3">
        <v>723</v>
      </c>
      <c r="B729" s="3" t="str">
        <f>"201900061188"</f>
        <v>201900061188</v>
      </c>
      <c r="C729" s="3" t="str">
        <f>"103321"</f>
        <v>103321</v>
      </c>
      <c r="D729" s="3" t="s">
        <v>3950</v>
      </c>
      <c r="E729" s="3">
        <v>20554257951</v>
      </c>
      <c r="F729" s="3" t="s">
        <v>3951</v>
      </c>
      <c r="G729" s="3" t="s">
        <v>3952</v>
      </c>
      <c r="H729" s="3" t="s">
        <v>116</v>
      </c>
      <c r="I729" s="3" t="s">
        <v>339</v>
      </c>
      <c r="J729" s="3" t="s">
        <v>340</v>
      </c>
      <c r="K729" s="3" t="s">
        <v>37</v>
      </c>
      <c r="L729" s="3" t="s">
        <v>72</v>
      </c>
      <c r="M729" s="3" t="s">
        <v>3953</v>
      </c>
      <c r="N729" s="3" t="s">
        <v>76</v>
      </c>
      <c r="O729" s="3" t="s">
        <v>54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>
        <v>14000</v>
      </c>
      <c r="AB729" s="3">
        <v>4000</v>
      </c>
      <c r="AC729" s="4">
        <v>43584</v>
      </c>
      <c r="AD729" s="3" t="s">
        <v>42</v>
      </c>
      <c r="AE729" s="3" t="s">
        <v>3954</v>
      </c>
      <c r="AF729" s="3">
        <v>720</v>
      </c>
    </row>
    <row r="730" spans="1:32" ht="27.95" x14ac:dyDescent="0.3">
      <c r="A730" s="5">
        <v>724</v>
      </c>
      <c r="B730" s="5" t="str">
        <f>"201800178597"</f>
        <v>201800178597</v>
      </c>
      <c r="C730" s="5" t="str">
        <f>"139330"</f>
        <v>139330</v>
      </c>
      <c r="D730" s="5" t="s">
        <v>3955</v>
      </c>
      <c r="E730" s="5">
        <v>20601997577</v>
      </c>
      <c r="F730" s="5" t="s">
        <v>3956</v>
      </c>
      <c r="G730" s="5" t="s">
        <v>3957</v>
      </c>
      <c r="H730" s="5" t="s">
        <v>935</v>
      </c>
      <c r="I730" s="5" t="s">
        <v>936</v>
      </c>
      <c r="J730" s="5" t="s">
        <v>935</v>
      </c>
      <c r="K730" s="5" t="s">
        <v>37</v>
      </c>
      <c r="L730" s="5" t="s">
        <v>3958</v>
      </c>
      <c r="M730" s="5" t="s">
        <v>3959</v>
      </c>
      <c r="N730" s="5" t="s">
        <v>3960</v>
      </c>
      <c r="O730" s="5" t="s">
        <v>94</v>
      </c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>
        <v>14597</v>
      </c>
      <c r="AB730" s="5">
        <v>5000</v>
      </c>
      <c r="AC730" s="6">
        <v>43405</v>
      </c>
      <c r="AD730" s="5" t="s">
        <v>42</v>
      </c>
      <c r="AE730" s="5" t="s">
        <v>3961</v>
      </c>
      <c r="AF730" s="5">
        <v>0</v>
      </c>
    </row>
    <row r="731" spans="1:32" ht="41.95" x14ac:dyDescent="0.3">
      <c r="A731" s="3">
        <v>725</v>
      </c>
      <c r="B731" s="3" t="str">
        <f>"201900213276"</f>
        <v>201900213276</v>
      </c>
      <c r="C731" s="3" t="str">
        <f>"115245"</f>
        <v>115245</v>
      </c>
      <c r="D731" s="3" t="s">
        <v>3962</v>
      </c>
      <c r="E731" s="3">
        <v>20477894195</v>
      </c>
      <c r="F731" s="3" t="s">
        <v>3963</v>
      </c>
      <c r="G731" s="3" t="s">
        <v>3964</v>
      </c>
      <c r="H731" s="3" t="s">
        <v>58</v>
      </c>
      <c r="I731" s="3" t="s">
        <v>58</v>
      </c>
      <c r="J731" s="3" t="s">
        <v>71</v>
      </c>
      <c r="K731" s="3" t="s">
        <v>37</v>
      </c>
      <c r="L731" s="3" t="s">
        <v>63</v>
      </c>
      <c r="M731" s="3" t="s">
        <v>3965</v>
      </c>
      <c r="N731" s="3" t="s">
        <v>3966</v>
      </c>
      <c r="O731" s="3" t="s">
        <v>78</v>
      </c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>
        <v>17470</v>
      </c>
      <c r="AB731" s="3">
        <v>3200</v>
      </c>
      <c r="AC731" s="4">
        <v>43829</v>
      </c>
      <c r="AD731" s="3" t="s">
        <v>42</v>
      </c>
      <c r="AE731" s="3" t="s">
        <v>3967</v>
      </c>
      <c r="AF731" s="3">
        <v>0</v>
      </c>
    </row>
    <row r="732" spans="1:32" ht="27.95" x14ac:dyDescent="0.3">
      <c r="A732" s="5">
        <v>726</v>
      </c>
      <c r="B732" s="5" t="str">
        <f>"201900054137"</f>
        <v>201900054137</v>
      </c>
      <c r="C732" s="5" t="str">
        <f>"19848"</f>
        <v>19848</v>
      </c>
      <c r="D732" s="5" t="s">
        <v>3968</v>
      </c>
      <c r="E732" s="5">
        <v>20603619031</v>
      </c>
      <c r="F732" s="5" t="s">
        <v>3969</v>
      </c>
      <c r="G732" s="5" t="s">
        <v>3970</v>
      </c>
      <c r="H732" s="5" t="s">
        <v>89</v>
      </c>
      <c r="I732" s="5" t="s">
        <v>89</v>
      </c>
      <c r="J732" s="5" t="s">
        <v>89</v>
      </c>
      <c r="K732" s="5" t="s">
        <v>37</v>
      </c>
      <c r="L732" s="5" t="s">
        <v>628</v>
      </c>
      <c r="M732" s="5" t="s">
        <v>3971</v>
      </c>
      <c r="N732" s="5" t="s">
        <v>381</v>
      </c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>
        <v>12000</v>
      </c>
      <c r="AB732" s="5">
        <v>2000</v>
      </c>
      <c r="AC732" s="6">
        <v>43559</v>
      </c>
      <c r="AD732" s="5" t="s">
        <v>42</v>
      </c>
      <c r="AE732" s="5" t="s">
        <v>3972</v>
      </c>
      <c r="AF732" s="5">
        <v>0</v>
      </c>
    </row>
    <row r="733" spans="1:32" ht="27.95" x14ac:dyDescent="0.3">
      <c r="A733" s="3">
        <v>727</v>
      </c>
      <c r="B733" s="3" t="str">
        <f>"202000014338"</f>
        <v>202000014338</v>
      </c>
      <c r="C733" s="3" t="str">
        <f>"148481"</f>
        <v>148481</v>
      </c>
      <c r="D733" s="3" t="s">
        <v>3973</v>
      </c>
      <c r="E733" s="3">
        <v>20605753478</v>
      </c>
      <c r="F733" s="3" t="s">
        <v>3974</v>
      </c>
      <c r="G733" s="3" t="s">
        <v>3975</v>
      </c>
      <c r="H733" s="3" t="s">
        <v>58</v>
      </c>
      <c r="I733" s="3" t="s">
        <v>58</v>
      </c>
      <c r="J733" s="3" t="s">
        <v>71</v>
      </c>
      <c r="K733" s="3" t="s">
        <v>37</v>
      </c>
      <c r="L733" s="3" t="s">
        <v>3976</v>
      </c>
      <c r="M733" s="3" t="s">
        <v>3977</v>
      </c>
      <c r="N733" s="3" t="s">
        <v>248</v>
      </c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>
        <v>14457</v>
      </c>
      <c r="AB733" s="3">
        <v>3000</v>
      </c>
      <c r="AC733" s="4">
        <v>43857</v>
      </c>
      <c r="AD733" s="3" t="s">
        <v>42</v>
      </c>
      <c r="AE733" s="3" t="s">
        <v>3978</v>
      </c>
      <c r="AF733" s="3">
        <v>0</v>
      </c>
    </row>
    <row r="734" spans="1:32" ht="27.95" x14ac:dyDescent="0.3">
      <c r="A734" s="5">
        <v>728</v>
      </c>
      <c r="B734" s="5" t="str">
        <f>"201200005074"</f>
        <v>201200005074</v>
      </c>
      <c r="C734" s="5" t="str">
        <f>"9542"</f>
        <v>9542</v>
      </c>
      <c r="D734" s="5" t="s">
        <v>3979</v>
      </c>
      <c r="E734" s="5">
        <v>20538585204</v>
      </c>
      <c r="F734" s="5" t="s">
        <v>3980</v>
      </c>
      <c r="G734" s="5" t="s">
        <v>3981</v>
      </c>
      <c r="H734" s="5" t="s">
        <v>329</v>
      </c>
      <c r="I734" s="5" t="s">
        <v>329</v>
      </c>
      <c r="J734" s="5" t="s">
        <v>3312</v>
      </c>
      <c r="K734" s="5" t="s">
        <v>37</v>
      </c>
      <c r="L734" s="5" t="s">
        <v>49</v>
      </c>
      <c r="M734" s="5" t="s">
        <v>51</v>
      </c>
      <c r="N734" s="5" t="s">
        <v>50</v>
      </c>
      <c r="O734" s="5" t="s">
        <v>743</v>
      </c>
      <c r="P734" s="5" t="s">
        <v>102</v>
      </c>
      <c r="Q734" s="5" t="s">
        <v>78</v>
      </c>
      <c r="R734" s="5"/>
      <c r="S734" s="5"/>
      <c r="T734" s="5"/>
      <c r="U734" s="5"/>
      <c r="V734" s="5"/>
      <c r="W734" s="5"/>
      <c r="X734" s="5"/>
      <c r="Y734" s="5"/>
      <c r="Z734" s="5"/>
      <c r="AA734" s="5">
        <v>25000</v>
      </c>
      <c r="AB734" s="5">
        <v>3200</v>
      </c>
      <c r="AC734" s="6">
        <v>40933</v>
      </c>
      <c r="AD734" s="5" t="s">
        <v>42</v>
      </c>
      <c r="AE734" s="5" t="s">
        <v>3982</v>
      </c>
      <c r="AF734" s="5">
        <v>0</v>
      </c>
    </row>
    <row r="735" spans="1:32" ht="27.95" x14ac:dyDescent="0.3">
      <c r="A735" s="3">
        <v>729</v>
      </c>
      <c r="B735" s="3" t="str">
        <f>"201800122633"</f>
        <v>201800122633</v>
      </c>
      <c r="C735" s="3" t="str">
        <f>"137661"</f>
        <v>137661</v>
      </c>
      <c r="D735" s="3" t="s">
        <v>3983</v>
      </c>
      <c r="E735" s="3">
        <v>20494982171</v>
      </c>
      <c r="F735" s="3" t="s">
        <v>3984</v>
      </c>
      <c r="G735" s="3" t="s">
        <v>3985</v>
      </c>
      <c r="H735" s="3" t="s">
        <v>47</v>
      </c>
      <c r="I735" s="3" t="s">
        <v>47</v>
      </c>
      <c r="J735" s="3" t="s">
        <v>2074</v>
      </c>
      <c r="K735" s="3" t="s">
        <v>37</v>
      </c>
      <c r="L735" s="3" t="s">
        <v>72</v>
      </c>
      <c r="M735" s="3" t="s">
        <v>72</v>
      </c>
      <c r="N735" s="3" t="s">
        <v>499</v>
      </c>
      <c r="O735" s="3" t="s">
        <v>94</v>
      </c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>
        <v>24000</v>
      </c>
      <c r="AB735" s="3">
        <v>5000</v>
      </c>
      <c r="AC735" s="4">
        <v>43311</v>
      </c>
      <c r="AD735" s="3" t="s">
        <v>42</v>
      </c>
      <c r="AE735" s="3" t="s">
        <v>2546</v>
      </c>
      <c r="AF735" s="3">
        <v>0</v>
      </c>
    </row>
    <row r="736" spans="1:32" ht="27.95" x14ac:dyDescent="0.3">
      <c r="A736" s="5">
        <v>730</v>
      </c>
      <c r="B736" s="5" t="str">
        <f>"201300133885"</f>
        <v>201300133885</v>
      </c>
      <c r="C736" s="5" t="str">
        <f>"6801"</f>
        <v>6801</v>
      </c>
      <c r="D736" s="5" t="s">
        <v>3986</v>
      </c>
      <c r="E736" s="5">
        <v>20505270348</v>
      </c>
      <c r="F736" s="5" t="s">
        <v>3987</v>
      </c>
      <c r="G736" s="5" t="s">
        <v>3988</v>
      </c>
      <c r="H736" s="5" t="s">
        <v>58</v>
      </c>
      <c r="I736" s="5" t="s">
        <v>58</v>
      </c>
      <c r="J736" s="5" t="s">
        <v>2826</v>
      </c>
      <c r="K736" s="5" t="s">
        <v>37</v>
      </c>
      <c r="L736" s="5" t="s">
        <v>2603</v>
      </c>
      <c r="M736" s="5" t="s">
        <v>2603</v>
      </c>
      <c r="N736" s="5" t="s">
        <v>3989</v>
      </c>
      <c r="O736" s="5" t="s">
        <v>3041</v>
      </c>
      <c r="P736" s="5" t="s">
        <v>3990</v>
      </c>
      <c r="Q736" s="5" t="s">
        <v>54</v>
      </c>
      <c r="R736" s="5"/>
      <c r="S736" s="5"/>
      <c r="T736" s="5"/>
      <c r="U736" s="5"/>
      <c r="V736" s="5"/>
      <c r="W736" s="5"/>
      <c r="X736" s="5"/>
      <c r="Y736" s="5"/>
      <c r="Z736" s="5"/>
      <c r="AA736" s="5">
        <v>34497</v>
      </c>
      <c r="AB736" s="5">
        <v>4000</v>
      </c>
      <c r="AC736" s="6">
        <v>41502</v>
      </c>
      <c r="AD736" s="5" t="s">
        <v>42</v>
      </c>
      <c r="AE736" s="5" t="s">
        <v>3991</v>
      </c>
      <c r="AF736" s="5">
        <v>240</v>
      </c>
    </row>
    <row r="737" spans="1:32" x14ac:dyDescent="0.3">
      <c r="A737" s="3">
        <v>731</v>
      </c>
      <c r="B737" s="3" t="str">
        <f>"201600025519"</f>
        <v>201600025519</v>
      </c>
      <c r="C737" s="3" t="str">
        <f>"18498"</f>
        <v>18498</v>
      </c>
      <c r="D737" s="3" t="s">
        <v>3992</v>
      </c>
      <c r="E737" s="3">
        <v>20538122107</v>
      </c>
      <c r="F737" s="3" t="s">
        <v>1351</v>
      </c>
      <c r="G737" s="3" t="s">
        <v>3993</v>
      </c>
      <c r="H737" s="3" t="s">
        <v>58</v>
      </c>
      <c r="I737" s="3" t="s">
        <v>373</v>
      </c>
      <c r="J737" s="3" t="s">
        <v>3994</v>
      </c>
      <c r="K737" s="3" t="s">
        <v>37</v>
      </c>
      <c r="L737" s="3" t="s">
        <v>76</v>
      </c>
      <c r="M737" s="3" t="s">
        <v>557</v>
      </c>
      <c r="N737" s="3" t="s">
        <v>319</v>
      </c>
      <c r="O737" s="3" t="s">
        <v>74</v>
      </c>
      <c r="P737" s="3" t="s">
        <v>3007</v>
      </c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>
        <v>13500</v>
      </c>
      <c r="AB737" s="3">
        <v>2000</v>
      </c>
      <c r="AC737" s="4">
        <v>42423</v>
      </c>
      <c r="AD737" s="3" t="s">
        <v>42</v>
      </c>
      <c r="AE737" s="3" t="s">
        <v>1356</v>
      </c>
      <c r="AF737" s="3">
        <v>240</v>
      </c>
    </row>
    <row r="738" spans="1:32" ht="27.95" x14ac:dyDescent="0.3">
      <c r="A738" s="5">
        <v>732</v>
      </c>
      <c r="B738" s="5" t="str">
        <f>"201600116582"</f>
        <v>201600116582</v>
      </c>
      <c r="C738" s="5" t="str">
        <f>"107226"</f>
        <v>107226</v>
      </c>
      <c r="D738" s="5" t="s">
        <v>3995</v>
      </c>
      <c r="E738" s="5">
        <v>20440135502</v>
      </c>
      <c r="F738" s="5" t="s">
        <v>3258</v>
      </c>
      <c r="G738" s="5" t="s">
        <v>3996</v>
      </c>
      <c r="H738" s="5" t="s">
        <v>219</v>
      </c>
      <c r="I738" s="5" t="s">
        <v>220</v>
      </c>
      <c r="J738" s="5" t="s">
        <v>220</v>
      </c>
      <c r="K738" s="5" t="s">
        <v>37</v>
      </c>
      <c r="L738" s="5" t="s">
        <v>1169</v>
      </c>
      <c r="M738" s="5" t="s">
        <v>3997</v>
      </c>
      <c r="N738" s="5" t="s">
        <v>94</v>
      </c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>
        <v>12000</v>
      </c>
      <c r="AB738" s="5">
        <v>5000</v>
      </c>
      <c r="AC738" s="6">
        <v>42596</v>
      </c>
      <c r="AD738" s="5" t="s">
        <v>42</v>
      </c>
      <c r="AE738" s="5" t="s">
        <v>1144</v>
      </c>
      <c r="AF738" s="5">
        <v>720</v>
      </c>
    </row>
    <row r="739" spans="1:32" ht="41.95" x14ac:dyDescent="0.3">
      <c r="A739" s="3">
        <v>733</v>
      </c>
      <c r="B739" s="3" t="str">
        <f>"201600116585"</f>
        <v>201600116585</v>
      </c>
      <c r="C739" s="3" t="str">
        <f>"85453"</f>
        <v>85453</v>
      </c>
      <c r="D739" s="3" t="s">
        <v>3998</v>
      </c>
      <c r="E739" s="3">
        <v>20440135502</v>
      </c>
      <c r="F739" s="3" t="s">
        <v>3999</v>
      </c>
      <c r="G739" s="3" t="s">
        <v>4000</v>
      </c>
      <c r="H739" s="3" t="s">
        <v>219</v>
      </c>
      <c r="I739" s="3" t="s">
        <v>220</v>
      </c>
      <c r="J739" s="3" t="s">
        <v>220</v>
      </c>
      <c r="K739" s="3" t="s">
        <v>37</v>
      </c>
      <c r="L739" s="3" t="s">
        <v>1169</v>
      </c>
      <c r="M739" s="3" t="s">
        <v>4001</v>
      </c>
      <c r="N739" s="3" t="s">
        <v>4002</v>
      </c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>
        <v>11250</v>
      </c>
      <c r="AB739" s="3">
        <v>4260</v>
      </c>
      <c r="AC739" s="4">
        <v>42596</v>
      </c>
      <c r="AD739" s="3" t="s">
        <v>42</v>
      </c>
      <c r="AE739" s="3" t="s">
        <v>3261</v>
      </c>
      <c r="AF739" s="3">
        <v>0</v>
      </c>
    </row>
    <row r="740" spans="1:32" ht="27.95" x14ac:dyDescent="0.3">
      <c r="A740" s="5">
        <v>734</v>
      </c>
      <c r="B740" s="5" t="str">
        <f>"201700007453"</f>
        <v>201700007453</v>
      </c>
      <c r="C740" s="5" t="str">
        <f>"126071"</f>
        <v>126071</v>
      </c>
      <c r="D740" s="5" t="s">
        <v>4003</v>
      </c>
      <c r="E740" s="5">
        <v>20439919818</v>
      </c>
      <c r="F740" s="5" t="s">
        <v>1140</v>
      </c>
      <c r="G740" s="5" t="s">
        <v>4004</v>
      </c>
      <c r="H740" s="5" t="s">
        <v>219</v>
      </c>
      <c r="I740" s="5" t="s">
        <v>220</v>
      </c>
      <c r="J740" s="5" t="s">
        <v>908</v>
      </c>
      <c r="K740" s="5" t="s">
        <v>37</v>
      </c>
      <c r="L740" s="5" t="s">
        <v>3997</v>
      </c>
      <c r="M740" s="5" t="s">
        <v>1169</v>
      </c>
      <c r="N740" s="5" t="s">
        <v>94</v>
      </c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>
        <v>12000</v>
      </c>
      <c r="AB740" s="5">
        <v>5000</v>
      </c>
      <c r="AC740" s="6">
        <v>42761</v>
      </c>
      <c r="AD740" s="5" t="s">
        <v>42</v>
      </c>
      <c r="AE740" s="5" t="s">
        <v>1144</v>
      </c>
      <c r="AF740" s="5">
        <v>0</v>
      </c>
    </row>
    <row r="741" spans="1:32" x14ac:dyDescent="0.3">
      <c r="A741" s="3">
        <v>735</v>
      </c>
      <c r="B741" s="3" t="str">
        <f>"202000116405"</f>
        <v>202000116405</v>
      </c>
      <c r="C741" s="3" t="str">
        <f>"7418"</f>
        <v>7418</v>
      </c>
      <c r="D741" s="3" t="s">
        <v>4005</v>
      </c>
      <c r="E741" s="3">
        <v>10212539177</v>
      </c>
      <c r="F741" s="3" t="s">
        <v>4006</v>
      </c>
      <c r="G741" s="3" t="s">
        <v>4007</v>
      </c>
      <c r="H741" s="3" t="s">
        <v>125</v>
      </c>
      <c r="I741" s="3" t="s">
        <v>125</v>
      </c>
      <c r="J741" s="3" t="s">
        <v>125</v>
      </c>
      <c r="K741" s="3" t="s">
        <v>37</v>
      </c>
      <c r="L741" s="3" t="s">
        <v>692</v>
      </c>
      <c r="M741" s="3" t="s">
        <v>1313</v>
      </c>
      <c r="N741" s="3" t="s">
        <v>693</v>
      </c>
      <c r="O741" s="3" t="s">
        <v>4008</v>
      </c>
      <c r="P741" s="3" t="s">
        <v>94</v>
      </c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>
        <v>15900</v>
      </c>
      <c r="AB741" s="3">
        <v>5000</v>
      </c>
      <c r="AC741" s="4">
        <v>44083</v>
      </c>
      <c r="AD741" s="3" t="s">
        <v>42</v>
      </c>
      <c r="AE741" s="3" t="s">
        <v>4006</v>
      </c>
      <c r="AF741" s="3">
        <v>240</v>
      </c>
    </row>
    <row r="742" spans="1:32" ht="27.95" x14ac:dyDescent="0.3">
      <c r="A742" s="5">
        <v>736</v>
      </c>
      <c r="B742" s="5" t="str">
        <f>"202000060601"</f>
        <v>202000060601</v>
      </c>
      <c r="C742" s="5" t="str">
        <f>"149601"</f>
        <v>149601</v>
      </c>
      <c r="D742" s="5" t="s">
        <v>4009</v>
      </c>
      <c r="E742" s="5">
        <v>15318844035</v>
      </c>
      <c r="F742" s="5" t="s">
        <v>4010</v>
      </c>
      <c r="G742" s="5" t="s">
        <v>4011</v>
      </c>
      <c r="H742" s="5" t="s">
        <v>108</v>
      </c>
      <c r="I742" s="5" t="s">
        <v>647</v>
      </c>
      <c r="J742" s="5" t="s">
        <v>1117</v>
      </c>
      <c r="K742" s="5" t="s">
        <v>37</v>
      </c>
      <c r="L742" s="5" t="s">
        <v>166</v>
      </c>
      <c r="M742" s="5" t="s">
        <v>4012</v>
      </c>
      <c r="N742" s="5" t="s">
        <v>94</v>
      </c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>
        <v>20000</v>
      </c>
      <c r="AB742" s="5">
        <v>5000</v>
      </c>
      <c r="AC742" s="6">
        <v>43980</v>
      </c>
      <c r="AD742" s="5" t="s">
        <v>42</v>
      </c>
      <c r="AE742" s="5" t="s">
        <v>4010</v>
      </c>
      <c r="AF742" s="5">
        <v>0</v>
      </c>
    </row>
    <row r="743" spans="1:32" ht="27.95" x14ac:dyDescent="0.3">
      <c r="A743" s="3">
        <v>737</v>
      </c>
      <c r="B743" s="3" t="str">
        <f>"201700140922"</f>
        <v>201700140922</v>
      </c>
      <c r="C743" s="3" t="str">
        <f>"8225"</f>
        <v>8225</v>
      </c>
      <c r="D743" s="3" t="s">
        <v>4013</v>
      </c>
      <c r="E743" s="3">
        <v>20503840121</v>
      </c>
      <c r="F743" s="3" t="s">
        <v>442</v>
      </c>
      <c r="G743" s="3" t="s">
        <v>4014</v>
      </c>
      <c r="H743" s="3" t="s">
        <v>58</v>
      </c>
      <c r="I743" s="3" t="s">
        <v>58</v>
      </c>
      <c r="J743" s="3" t="s">
        <v>2562</v>
      </c>
      <c r="K743" s="3" t="s">
        <v>37</v>
      </c>
      <c r="L743" s="3" t="s">
        <v>162</v>
      </c>
      <c r="M743" s="3" t="s">
        <v>161</v>
      </c>
      <c r="N743" s="3" t="s">
        <v>60</v>
      </c>
      <c r="O743" s="3" t="s">
        <v>72</v>
      </c>
      <c r="P743" s="3" t="s">
        <v>72</v>
      </c>
      <c r="Q743" s="3" t="s">
        <v>63</v>
      </c>
      <c r="R743" s="3" t="s">
        <v>390</v>
      </c>
      <c r="S743" s="3"/>
      <c r="T743" s="3"/>
      <c r="U743" s="3"/>
      <c r="V743" s="3"/>
      <c r="W743" s="3"/>
      <c r="X743" s="3"/>
      <c r="Y743" s="3"/>
      <c r="Z743" s="3"/>
      <c r="AA743" s="3">
        <v>42000</v>
      </c>
      <c r="AB743" s="3">
        <v>5200</v>
      </c>
      <c r="AC743" s="4">
        <v>42984</v>
      </c>
      <c r="AD743" s="3" t="s">
        <v>42</v>
      </c>
      <c r="AE743" s="3" t="s">
        <v>399</v>
      </c>
      <c r="AF743" s="3">
        <v>0</v>
      </c>
    </row>
    <row r="744" spans="1:32" ht="27.95" x14ac:dyDescent="0.3">
      <c r="A744" s="5">
        <v>738</v>
      </c>
      <c r="B744" s="5" t="str">
        <f>"201800140410"</f>
        <v>201800140410</v>
      </c>
      <c r="C744" s="5" t="str">
        <f>"118693"</f>
        <v>118693</v>
      </c>
      <c r="D744" s="5" t="s">
        <v>4015</v>
      </c>
      <c r="E744" s="5">
        <v>20551379192</v>
      </c>
      <c r="F744" s="5" t="s">
        <v>4016</v>
      </c>
      <c r="G744" s="5" t="s">
        <v>4017</v>
      </c>
      <c r="H744" s="5" t="s">
        <v>58</v>
      </c>
      <c r="I744" s="5" t="s">
        <v>58</v>
      </c>
      <c r="J744" s="5" t="s">
        <v>71</v>
      </c>
      <c r="K744" s="5" t="s">
        <v>37</v>
      </c>
      <c r="L744" s="5" t="s">
        <v>2028</v>
      </c>
      <c r="M744" s="5" t="s">
        <v>4018</v>
      </c>
      <c r="N744" s="5" t="s">
        <v>4019</v>
      </c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7010</v>
      </c>
      <c r="AB744" s="5">
        <v>2200</v>
      </c>
      <c r="AC744" s="6">
        <v>43338</v>
      </c>
      <c r="AD744" s="5" t="s">
        <v>42</v>
      </c>
      <c r="AE744" s="5" t="s">
        <v>4020</v>
      </c>
      <c r="AF744" s="5">
        <v>240</v>
      </c>
    </row>
    <row r="745" spans="1:32" ht="27.95" x14ac:dyDescent="0.3">
      <c r="A745" s="3">
        <v>739</v>
      </c>
      <c r="B745" s="3" t="str">
        <f>"201900199135"</f>
        <v>201900199135</v>
      </c>
      <c r="C745" s="3" t="str">
        <f>"96564"</f>
        <v>96564</v>
      </c>
      <c r="D745" s="3" t="s">
        <v>4021</v>
      </c>
      <c r="E745" s="3">
        <v>10043223173</v>
      </c>
      <c r="F745" s="3" t="s">
        <v>4022</v>
      </c>
      <c r="G745" s="3" t="s">
        <v>4023</v>
      </c>
      <c r="H745" s="3" t="s">
        <v>532</v>
      </c>
      <c r="I745" s="3" t="s">
        <v>714</v>
      </c>
      <c r="J745" s="3" t="s">
        <v>4024</v>
      </c>
      <c r="K745" s="3" t="s">
        <v>37</v>
      </c>
      <c r="L745" s="3" t="s">
        <v>3336</v>
      </c>
      <c r="M745" s="3" t="s">
        <v>4025</v>
      </c>
      <c r="N745" s="3" t="s">
        <v>4026</v>
      </c>
      <c r="O745" s="3" t="s">
        <v>94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>
        <v>16600</v>
      </c>
      <c r="AB745" s="3">
        <v>5000</v>
      </c>
      <c r="AC745" s="4">
        <v>43798</v>
      </c>
      <c r="AD745" s="4">
        <v>44164</v>
      </c>
      <c r="AE745" s="3" t="s">
        <v>4022</v>
      </c>
      <c r="AF745" s="3">
        <v>480</v>
      </c>
    </row>
    <row r="746" spans="1:32" ht="27.95" x14ac:dyDescent="0.3">
      <c r="A746" s="5">
        <v>740</v>
      </c>
      <c r="B746" s="5" t="str">
        <f>"201800072907"</f>
        <v>201800072907</v>
      </c>
      <c r="C746" s="5" t="str">
        <f>"19855"</f>
        <v>19855</v>
      </c>
      <c r="D746" s="5" t="s">
        <v>4027</v>
      </c>
      <c r="E746" s="5">
        <v>20228985237</v>
      </c>
      <c r="F746" s="5" t="s">
        <v>4028</v>
      </c>
      <c r="G746" s="5" t="s">
        <v>4029</v>
      </c>
      <c r="H746" s="5" t="s">
        <v>89</v>
      </c>
      <c r="I746" s="5" t="s">
        <v>89</v>
      </c>
      <c r="J746" s="5" t="s">
        <v>834</v>
      </c>
      <c r="K746" s="5" t="s">
        <v>37</v>
      </c>
      <c r="L746" s="5" t="s">
        <v>664</v>
      </c>
      <c r="M746" s="5" t="s">
        <v>459</v>
      </c>
      <c r="N746" s="5" t="s">
        <v>74</v>
      </c>
      <c r="O746" s="5" t="s">
        <v>555</v>
      </c>
      <c r="P746" s="5" t="s">
        <v>78</v>
      </c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>
        <v>12000</v>
      </c>
      <c r="AB746" s="5">
        <v>3200</v>
      </c>
      <c r="AC746" s="6">
        <v>43227</v>
      </c>
      <c r="AD746" s="5" t="s">
        <v>42</v>
      </c>
      <c r="AE746" s="5" t="s">
        <v>2160</v>
      </c>
      <c r="AF746" s="5">
        <v>0</v>
      </c>
    </row>
    <row r="747" spans="1:32" ht="27.95" x14ac:dyDescent="0.3">
      <c r="A747" s="3">
        <v>741</v>
      </c>
      <c r="B747" s="3" t="str">
        <f>"201700083456"</f>
        <v>201700083456</v>
      </c>
      <c r="C747" s="3" t="str">
        <f>"15236"</f>
        <v>15236</v>
      </c>
      <c r="D747" s="3" t="s">
        <v>4030</v>
      </c>
      <c r="E747" s="3">
        <v>20127765279</v>
      </c>
      <c r="F747" s="3" t="s">
        <v>1115</v>
      </c>
      <c r="G747" s="3" t="s">
        <v>4031</v>
      </c>
      <c r="H747" s="3" t="s">
        <v>219</v>
      </c>
      <c r="I747" s="3" t="s">
        <v>220</v>
      </c>
      <c r="J747" s="3" t="s">
        <v>1729</v>
      </c>
      <c r="K747" s="3" t="s">
        <v>37</v>
      </c>
      <c r="L747" s="3" t="s">
        <v>52</v>
      </c>
      <c r="M747" s="3" t="s">
        <v>4032</v>
      </c>
      <c r="N747" s="3" t="s">
        <v>78</v>
      </c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>
        <v>16000</v>
      </c>
      <c r="AB747" s="3">
        <v>3200</v>
      </c>
      <c r="AC747" s="4">
        <v>42893</v>
      </c>
      <c r="AD747" s="3" t="s">
        <v>42</v>
      </c>
      <c r="AE747" s="3" t="s">
        <v>4033</v>
      </c>
      <c r="AF747" s="3">
        <v>720</v>
      </c>
    </row>
    <row r="748" spans="1:32" x14ac:dyDescent="0.3">
      <c r="A748" s="5">
        <v>742</v>
      </c>
      <c r="B748" s="5" t="str">
        <f>"201700011286"</f>
        <v>201700011286</v>
      </c>
      <c r="C748" s="5" t="str">
        <f>"9337"</f>
        <v>9337</v>
      </c>
      <c r="D748" s="5" t="s">
        <v>4034</v>
      </c>
      <c r="E748" s="5">
        <v>20103456933</v>
      </c>
      <c r="F748" s="5" t="s">
        <v>4035</v>
      </c>
      <c r="G748" s="5" t="s">
        <v>4036</v>
      </c>
      <c r="H748" s="5" t="s">
        <v>36</v>
      </c>
      <c r="I748" s="5" t="s">
        <v>409</v>
      </c>
      <c r="J748" s="5" t="s">
        <v>409</v>
      </c>
      <c r="K748" s="5" t="s">
        <v>37</v>
      </c>
      <c r="L748" s="5" t="s">
        <v>52</v>
      </c>
      <c r="M748" s="5" t="s">
        <v>61</v>
      </c>
      <c r="N748" s="5" t="s">
        <v>60</v>
      </c>
      <c r="O748" s="5" t="s">
        <v>285</v>
      </c>
      <c r="P748" s="5" t="s">
        <v>65</v>
      </c>
      <c r="Q748" s="5" t="s">
        <v>248</v>
      </c>
      <c r="R748" s="5"/>
      <c r="S748" s="5"/>
      <c r="T748" s="5"/>
      <c r="U748" s="5"/>
      <c r="V748" s="5"/>
      <c r="W748" s="5"/>
      <c r="X748" s="5"/>
      <c r="Y748" s="5"/>
      <c r="Z748" s="5"/>
      <c r="AA748" s="5">
        <v>32000</v>
      </c>
      <c r="AB748" s="5">
        <v>3000</v>
      </c>
      <c r="AC748" s="6">
        <v>42759</v>
      </c>
      <c r="AD748" s="5" t="s">
        <v>42</v>
      </c>
      <c r="AE748" s="5" t="s">
        <v>4037</v>
      </c>
      <c r="AF748" s="5">
        <v>0</v>
      </c>
    </row>
    <row r="749" spans="1:32" ht="27.95" x14ac:dyDescent="0.3">
      <c r="A749" s="3">
        <v>743</v>
      </c>
      <c r="B749" s="3" t="str">
        <f>"202000104234"</f>
        <v>202000104234</v>
      </c>
      <c r="C749" s="3" t="str">
        <f>"34179"</f>
        <v>34179</v>
      </c>
      <c r="D749" s="3" t="s">
        <v>4038</v>
      </c>
      <c r="E749" s="3">
        <v>20537605899</v>
      </c>
      <c r="F749" s="3" t="s">
        <v>4039</v>
      </c>
      <c r="G749" s="3" t="s">
        <v>4040</v>
      </c>
      <c r="H749" s="3" t="s">
        <v>58</v>
      </c>
      <c r="I749" s="3" t="s">
        <v>58</v>
      </c>
      <c r="J749" s="3" t="s">
        <v>1756</v>
      </c>
      <c r="K749" s="3" t="s">
        <v>37</v>
      </c>
      <c r="L749" s="3" t="s">
        <v>593</v>
      </c>
      <c r="M749" s="3" t="s">
        <v>171</v>
      </c>
      <c r="N749" s="3" t="s">
        <v>3663</v>
      </c>
      <c r="O749" s="3" t="s">
        <v>381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>
        <v>13500</v>
      </c>
      <c r="AB749" s="3">
        <v>2000</v>
      </c>
      <c r="AC749" s="4">
        <v>44083</v>
      </c>
      <c r="AD749" s="3" t="s">
        <v>42</v>
      </c>
      <c r="AE749" s="3" t="s">
        <v>4041</v>
      </c>
      <c r="AF749" s="3">
        <v>0</v>
      </c>
    </row>
    <row r="750" spans="1:32" ht="27.95" x14ac:dyDescent="0.3">
      <c r="A750" s="5">
        <v>744</v>
      </c>
      <c r="B750" s="5" t="str">
        <f>"201800146893"</f>
        <v>201800146893</v>
      </c>
      <c r="C750" s="5" t="str">
        <f>"125092"</f>
        <v>125092</v>
      </c>
      <c r="D750" s="5" t="s">
        <v>4042</v>
      </c>
      <c r="E750" s="5">
        <v>20600521153</v>
      </c>
      <c r="F750" s="5" t="s">
        <v>4043</v>
      </c>
      <c r="G750" s="5" t="s">
        <v>4044</v>
      </c>
      <c r="H750" s="5" t="s">
        <v>108</v>
      </c>
      <c r="I750" s="5" t="s">
        <v>1468</v>
      </c>
      <c r="J750" s="5" t="s">
        <v>1468</v>
      </c>
      <c r="K750" s="5" t="s">
        <v>37</v>
      </c>
      <c r="L750" s="5" t="s">
        <v>72</v>
      </c>
      <c r="M750" s="5" t="s">
        <v>4045</v>
      </c>
      <c r="N750" s="5" t="s">
        <v>94</v>
      </c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>
        <v>16000</v>
      </c>
      <c r="AB750" s="5">
        <v>5000</v>
      </c>
      <c r="AC750" s="6">
        <v>43350</v>
      </c>
      <c r="AD750" s="5" t="s">
        <v>42</v>
      </c>
      <c r="AE750" s="5" t="s">
        <v>4046</v>
      </c>
      <c r="AF750" s="5">
        <v>0</v>
      </c>
    </row>
    <row r="751" spans="1:32" ht="27.95" x14ac:dyDescent="0.3">
      <c r="A751" s="3">
        <v>745</v>
      </c>
      <c r="B751" s="3" t="str">
        <f>"201800184736"</f>
        <v>201800184736</v>
      </c>
      <c r="C751" s="3" t="str">
        <f>"139517"</f>
        <v>139517</v>
      </c>
      <c r="D751" s="3" t="s">
        <v>4047</v>
      </c>
      <c r="E751" s="3">
        <v>20601940605</v>
      </c>
      <c r="F751" s="3" t="s">
        <v>4048</v>
      </c>
      <c r="G751" s="3" t="s">
        <v>4049</v>
      </c>
      <c r="H751" s="3" t="s">
        <v>47</v>
      </c>
      <c r="I751" s="3" t="s">
        <v>47</v>
      </c>
      <c r="J751" s="3" t="s">
        <v>170</v>
      </c>
      <c r="K751" s="3" t="s">
        <v>37</v>
      </c>
      <c r="L751" s="3" t="s">
        <v>63</v>
      </c>
      <c r="M751" s="3" t="s">
        <v>3096</v>
      </c>
      <c r="N751" s="3" t="s">
        <v>4050</v>
      </c>
      <c r="O751" s="3" t="s">
        <v>94</v>
      </c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>
        <v>16000</v>
      </c>
      <c r="AB751" s="3">
        <v>5000</v>
      </c>
      <c r="AC751" s="4">
        <v>43412</v>
      </c>
      <c r="AD751" s="3" t="s">
        <v>42</v>
      </c>
      <c r="AE751" s="3" t="s">
        <v>4051</v>
      </c>
      <c r="AF751" s="3">
        <v>0</v>
      </c>
    </row>
    <row r="752" spans="1:32" ht="41.95" x14ac:dyDescent="0.3">
      <c r="A752" s="5">
        <v>746</v>
      </c>
      <c r="B752" s="5" t="str">
        <f>"201900189071"</f>
        <v>201900189071</v>
      </c>
      <c r="C752" s="5" t="str">
        <f>"33177"</f>
        <v>33177</v>
      </c>
      <c r="D752" s="5" t="s">
        <v>4052</v>
      </c>
      <c r="E752" s="5">
        <v>20568600453</v>
      </c>
      <c r="F752" s="5" t="s">
        <v>850</v>
      </c>
      <c r="G752" s="5" t="s">
        <v>4053</v>
      </c>
      <c r="H752" s="5" t="s">
        <v>58</v>
      </c>
      <c r="I752" s="5" t="s">
        <v>823</v>
      </c>
      <c r="J752" s="5" t="s">
        <v>823</v>
      </c>
      <c r="K752" s="5" t="s">
        <v>37</v>
      </c>
      <c r="L752" s="5" t="s">
        <v>4054</v>
      </c>
      <c r="M752" s="5" t="s">
        <v>1495</v>
      </c>
      <c r="N752" s="5" t="s">
        <v>103</v>
      </c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11000</v>
      </c>
      <c r="AB752" s="5">
        <v>2500</v>
      </c>
      <c r="AC752" s="6">
        <v>43796</v>
      </c>
      <c r="AD752" s="5" t="s">
        <v>42</v>
      </c>
      <c r="AE752" s="5" t="s">
        <v>853</v>
      </c>
      <c r="AF752" s="5">
        <v>120</v>
      </c>
    </row>
    <row r="753" spans="1:32" ht="27.95" x14ac:dyDescent="0.3">
      <c r="A753" s="3">
        <v>747</v>
      </c>
      <c r="B753" s="3" t="str">
        <f>"202000090156"</f>
        <v>202000090156</v>
      </c>
      <c r="C753" s="3" t="str">
        <f>"108541"</f>
        <v>108541</v>
      </c>
      <c r="D753" s="3" t="s">
        <v>4055</v>
      </c>
      <c r="E753" s="3">
        <v>10418893058</v>
      </c>
      <c r="F753" s="3" t="s">
        <v>4056</v>
      </c>
      <c r="G753" s="3" t="s">
        <v>4057</v>
      </c>
      <c r="H753" s="3" t="s">
        <v>108</v>
      </c>
      <c r="I753" s="3" t="s">
        <v>144</v>
      </c>
      <c r="J753" s="3" t="s">
        <v>2842</v>
      </c>
      <c r="K753" s="3" t="s">
        <v>37</v>
      </c>
      <c r="L753" s="3" t="s">
        <v>4058</v>
      </c>
      <c r="M753" s="3" t="s">
        <v>4059</v>
      </c>
      <c r="N753" s="3" t="s">
        <v>94</v>
      </c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>
        <v>16100</v>
      </c>
      <c r="AB753" s="3">
        <v>5000</v>
      </c>
      <c r="AC753" s="4">
        <v>44035</v>
      </c>
      <c r="AD753" s="3" t="s">
        <v>42</v>
      </c>
      <c r="AE753" s="3" t="s">
        <v>4056</v>
      </c>
      <c r="AF753" s="3">
        <v>720</v>
      </c>
    </row>
    <row r="754" spans="1:32" ht="41.95" x14ac:dyDescent="0.3">
      <c r="A754" s="5">
        <v>748</v>
      </c>
      <c r="B754" s="5" t="str">
        <f>"202000107896"</f>
        <v>202000107896</v>
      </c>
      <c r="C754" s="5" t="str">
        <f>"150681"</f>
        <v>150681</v>
      </c>
      <c r="D754" s="5" t="s">
        <v>4060</v>
      </c>
      <c r="E754" s="5">
        <v>20606092998</v>
      </c>
      <c r="F754" s="5" t="s">
        <v>4061</v>
      </c>
      <c r="G754" s="5" t="s">
        <v>4062</v>
      </c>
      <c r="H754" s="5" t="s">
        <v>58</v>
      </c>
      <c r="I754" s="5" t="s">
        <v>58</v>
      </c>
      <c r="J754" s="5" t="s">
        <v>545</v>
      </c>
      <c r="K754" s="5" t="s">
        <v>37</v>
      </c>
      <c r="L754" s="5" t="s">
        <v>166</v>
      </c>
      <c r="M754" s="5" t="s">
        <v>166</v>
      </c>
      <c r="N754" s="5" t="s">
        <v>1238</v>
      </c>
      <c r="O754" s="5" t="s">
        <v>887</v>
      </c>
      <c r="P754" s="5" t="s">
        <v>263</v>
      </c>
      <c r="Q754" s="5" t="s">
        <v>154</v>
      </c>
      <c r="R754" s="5"/>
      <c r="S754" s="5"/>
      <c r="T754" s="5"/>
      <c r="U754" s="5"/>
      <c r="V754" s="5"/>
      <c r="W754" s="5"/>
      <c r="X754" s="5"/>
      <c r="Y754" s="5"/>
      <c r="Z754" s="5"/>
      <c r="AA754" s="5">
        <v>35500</v>
      </c>
      <c r="AB754" s="5">
        <v>6000</v>
      </c>
      <c r="AC754" s="6">
        <v>44068</v>
      </c>
      <c r="AD754" s="5" t="s">
        <v>42</v>
      </c>
      <c r="AE754" s="5" t="s">
        <v>4063</v>
      </c>
      <c r="AF754" s="5">
        <v>0</v>
      </c>
    </row>
    <row r="755" spans="1:32" ht="27.95" x14ac:dyDescent="0.3">
      <c r="A755" s="3">
        <v>749</v>
      </c>
      <c r="B755" s="3" t="str">
        <f>"201900208009"</f>
        <v>201900208009</v>
      </c>
      <c r="C755" s="3" t="str">
        <f>"38730"</f>
        <v>38730</v>
      </c>
      <c r="D755" s="3" t="s">
        <v>4064</v>
      </c>
      <c r="E755" s="3">
        <v>20480017189</v>
      </c>
      <c r="F755" s="3" t="s">
        <v>4065</v>
      </c>
      <c r="G755" s="3" t="s">
        <v>4066</v>
      </c>
      <c r="H755" s="3" t="s">
        <v>36</v>
      </c>
      <c r="I755" s="3" t="s">
        <v>409</v>
      </c>
      <c r="J755" s="3" t="s">
        <v>4067</v>
      </c>
      <c r="K755" s="3" t="s">
        <v>37</v>
      </c>
      <c r="L755" s="3" t="s">
        <v>2798</v>
      </c>
      <c r="M755" s="3" t="s">
        <v>4068</v>
      </c>
      <c r="N755" s="3" t="s">
        <v>4069</v>
      </c>
      <c r="O755" s="3" t="s">
        <v>4070</v>
      </c>
      <c r="P755" s="3" t="s">
        <v>78</v>
      </c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>
        <v>8715</v>
      </c>
      <c r="AB755" s="3">
        <v>3200</v>
      </c>
      <c r="AC755" s="4">
        <v>43823</v>
      </c>
      <c r="AD755" s="3" t="s">
        <v>42</v>
      </c>
      <c r="AE755" s="3" t="s">
        <v>4071</v>
      </c>
      <c r="AF755" s="3">
        <v>0</v>
      </c>
    </row>
    <row r="756" spans="1:32" ht="27.95" x14ac:dyDescent="0.3">
      <c r="A756" s="5">
        <v>750</v>
      </c>
      <c r="B756" s="5" t="str">
        <f>"201700201273"</f>
        <v>201700201273</v>
      </c>
      <c r="C756" s="5" t="str">
        <f>"16758"</f>
        <v>16758</v>
      </c>
      <c r="D756" s="5" t="s">
        <v>4072</v>
      </c>
      <c r="E756" s="5">
        <v>20502794052</v>
      </c>
      <c r="F756" s="5" t="s">
        <v>2139</v>
      </c>
      <c r="G756" s="5" t="s">
        <v>4073</v>
      </c>
      <c r="H756" s="5" t="s">
        <v>219</v>
      </c>
      <c r="I756" s="5" t="s">
        <v>220</v>
      </c>
      <c r="J756" s="5" t="s">
        <v>220</v>
      </c>
      <c r="K756" s="5" t="s">
        <v>37</v>
      </c>
      <c r="L756" s="5" t="s">
        <v>1001</v>
      </c>
      <c r="M756" s="5" t="s">
        <v>174</v>
      </c>
      <c r="N756" s="5" t="s">
        <v>171</v>
      </c>
      <c r="O756" s="5" t="s">
        <v>103</v>
      </c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>
        <v>12000</v>
      </c>
      <c r="AB756" s="5">
        <v>2500</v>
      </c>
      <c r="AC756" s="6">
        <v>43071</v>
      </c>
      <c r="AD756" s="5" t="s">
        <v>42</v>
      </c>
      <c r="AE756" s="5" t="s">
        <v>2142</v>
      </c>
      <c r="AF756" s="5">
        <v>0</v>
      </c>
    </row>
    <row r="757" spans="1:32" ht="27.95" x14ac:dyDescent="0.3">
      <c r="A757" s="3">
        <v>751</v>
      </c>
      <c r="B757" s="3" t="str">
        <f>"201900063943"</f>
        <v>201900063943</v>
      </c>
      <c r="C757" s="3" t="str">
        <f>"7571"</f>
        <v>7571</v>
      </c>
      <c r="D757" s="3" t="s">
        <v>4074</v>
      </c>
      <c r="E757" s="3">
        <v>20413401268</v>
      </c>
      <c r="F757" s="3" t="s">
        <v>4075</v>
      </c>
      <c r="G757" s="3" t="s">
        <v>4076</v>
      </c>
      <c r="H757" s="3" t="s">
        <v>89</v>
      </c>
      <c r="I757" s="3" t="s">
        <v>89</v>
      </c>
      <c r="J757" s="3" t="s">
        <v>1445</v>
      </c>
      <c r="K757" s="3" t="s">
        <v>37</v>
      </c>
      <c r="L757" s="3" t="s">
        <v>63</v>
      </c>
      <c r="M757" s="3" t="s">
        <v>63</v>
      </c>
      <c r="N757" s="3" t="s">
        <v>4077</v>
      </c>
      <c r="O757" s="3" t="s">
        <v>4078</v>
      </c>
      <c r="P757" s="3" t="s">
        <v>4079</v>
      </c>
      <c r="Q757" s="3" t="s">
        <v>1007</v>
      </c>
      <c r="R757" s="3" t="s">
        <v>248</v>
      </c>
      <c r="S757" s="3"/>
      <c r="T757" s="3"/>
      <c r="U757" s="3"/>
      <c r="V757" s="3"/>
      <c r="W757" s="3"/>
      <c r="X757" s="3"/>
      <c r="Y757" s="3"/>
      <c r="Z757" s="3"/>
      <c r="AA757" s="3">
        <v>23294</v>
      </c>
      <c r="AB757" s="3">
        <v>3000</v>
      </c>
      <c r="AC757" s="4">
        <v>43580</v>
      </c>
      <c r="AD757" s="3" t="s">
        <v>42</v>
      </c>
      <c r="AE757" s="3" t="s">
        <v>4080</v>
      </c>
      <c r="AF757" s="3">
        <v>0</v>
      </c>
    </row>
    <row r="758" spans="1:32" ht="27.95" x14ac:dyDescent="0.3">
      <c r="A758" s="5">
        <v>752</v>
      </c>
      <c r="B758" s="5" t="str">
        <f>"201300039101"</f>
        <v>201300039101</v>
      </c>
      <c r="C758" s="5" t="str">
        <f>"83174"</f>
        <v>83174</v>
      </c>
      <c r="D758" s="5" t="s">
        <v>4081</v>
      </c>
      <c r="E758" s="5">
        <v>20492647633</v>
      </c>
      <c r="F758" s="5" t="s">
        <v>4082</v>
      </c>
      <c r="G758" s="5" t="s">
        <v>4083</v>
      </c>
      <c r="H758" s="5" t="s">
        <v>58</v>
      </c>
      <c r="I758" s="5" t="s">
        <v>58</v>
      </c>
      <c r="J758" s="5" t="s">
        <v>1091</v>
      </c>
      <c r="K758" s="5" t="s">
        <v>37</v>
      </c>
      <c r="L758" s="5" t="s">
        <v>4084</v>
      </c>
      <c r="M758" s="5" t="s">
        <v>4085</v>
      </c>
      <c r="N758" s="5" t="s">
        <v>4086</v>
      </c>
      <c r="O758" s="5" t="s">
        <v>4087</v>
      </c>
      <c r="P758" s="5" t="s">
        <v>347</v>
      </c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>
        <v>40374</v>
      </c>
      <c r="AB758" s="5">
        <v>3100</v>
      </c>
      <c r="AC758" s="6">
        <v>41323</v>
      </c>
      <c r="AD758" s="5" t="s">
        <v>42</v>
      </c>
      <c r="AE758" s="5" t="s">
        <v>3680</v>
      </c>
      <c r="AF758" s="5">
        <v>0</v>
      </c>
    </row>
    <row r="759" spans="1:32" ht="27.95" x14ac:dyDescent="0.3">
      <c r="A759" s="3">
        <v>753</v>
      </c>
      <c r="B759" s="3" t="str">
        <f>"201900101703"</f>
        <v>201900101703</v>
      </c>
      <c r="C759" s="3" t="str">
        <f>"91261"</f>
        <v>91261</v>
      </c>
      <c r="D759" s="3" t="s">
        <v>4088</v>
      </c>
      <c r="E759" s="3">
        <v>20482008691</v>
      </c>
      <c r="F759" s="3" t="s">
        <v>4089</v>
      </c>
      <c r="G759" s="3" t="s">
        <v>4090</v>
      </c>
      <c r="H759" s="3" t="s">
        <v>219</v>
      </c>
      <c r="I759" s="3" t="s">
        <v>220</v>
      </c>
      <c r="J759" s="3" t="s">
        <v>908</v>
      </c>
      <c r="K759" s="3" t="s">
        <v>37</v>
      </c>
      <c r="L759" s="3" t="s">
        <v>296</v>
      </c>
      <c r="M759" s="3" t="s">
        <v>238</v>
      </c>
      <c r="N759" s="3" t="s">
        <v>459</v>
      </c>
      <c r="O759" s="3" t="s">
        <v>4091</v>
      </c>
      <c r="P759" s="3" t="s">
        <v>103</v>
      </c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>
        <v>9000</v>
      </c>
      <c r="AB759" s="3">
        <v>2500</v>
      </c>
      <c r="AC759" s="4">
        <v>43650</v>
      </c>
      <c r="AD759" s="3" t="s">
        <v>42</v>
      </c>
      <c r="AE759" s="3" t="s">
        <v>4092</v>
      </c>
      <c r="AF759" s="3">
        <v>720</v>
      </c>
    </row>
    <row r="760" spans="1:32" ht="27.95" x14ac:dyDescent="0.3">
      <c r="A760" s="5">
        <v>754</v>
      </c>
      <c r="B760" s="5" t="str">
        <f>"201900133185"</f>
        <v>201900133185</v>
      </c>
      <c r="C760" s="5" t="str">
        <f>"33657"</f>
        <v>33657</v>
      </c>
      <c r="D760" s="5" t="s">
        <v>4093</v>
      </c>
      <c r="E760" s="5">
        <v>10074825759</v>
      </c>
      <c r="F760" s="5" t="s">
        <v>4094</v>
      </c>
      <c r="G760" s="5" t="s">
        <v>4095</v>
      </c>
      <c r="H760" s="5" t="s">
        <v>58</v>
      </c>
      <c r="I760" s="5" t="s">
        <v>58</v>
      </c>
      <c r="J760" s="5" t="s">
        <v>2562</v>
      </c>
      <c r="K760" s="5" t="s">
        <v>37</v>
      </c>
      <c r="L760" s="5" t="s">
        <v>72</v>
      </c>
      <c r="M760" s="5" t="s">
        <v>4096</v>
      </c>
      <c r="N760" s="5" t="s">
        <v>174</v>
      </c>
      <c r="O760" s="5" t="s">
        <v>3881</v>
      </c>
      <c r="P760" s="5" t="s">
        <v>4096</v>
      </c>
      <c r="Q760" s="5" t="s">
        <v>94</v>
      </c>
      <c r="R760" s="5"/>
      <c r="S760" s="5"/>
      <c r="T760" s="5"/>
      <c r="U760" s="5"/>
      <c r="V760" s="5"/>
      <c r="W760" s="5"/>
      <c r="X760" s="5"/>
      <c r="Y760" s="5"/>
      <c r="Z760" s="5"/>
      <c r="AA760" s="5">
        <v>32000</v>
      </c>
      <c r="AB760" s="5">
        <v>5000</v>
      </c>
      <c r="AC760" s="6">
        <v>43698</v>
      </c>
      <c r="AD760" s="5" t="s">
        <v>42</v>
      </c>
      <c r="AE760" s="5" t="s">
        <v>4094</v>
      </c>
      <c r="AF760" s="5">
        <v>0</v>
      </c>
    </row>
    <row r="761" spans="1:32" x14ac:dyDescent="0.3">
      <c r="A761" s="3">
        <v>755</v>
      </c>
      <c r="B761" s="3" t="str">
        <f>"201800000941"</f>
        <v>201800000941</v>
      </c>
      <c r="C761" s="3" t="str">
        <f>"16592"</f>
        <v>16592</v>
      </c>
      <c r="D761" s="3" t="s">
        <v>4097</v>
      </c>
      <c r="E761" s="3">
        <v>20272612561</v>
      </c>
      <c r="F761" s="3" t="s">
        <v>4098</v>
      </c>
      <c r="G761" s="3" t="s">
        <v>4099</v>
      </c>
      <c r="H761" s="3" t="s">
        <v>89</v>
      </c>
      <c r="I761" s="3" t="s">
        <v>89</v>
      </c>
      <c r="J761" s="3" t="s">
        <v>4100</v>
      </c>
      <c r="K761" s="3" t="s">
        <v>37</v>
      </c>
      <c r="L761" s="3" t="s">
        <v>4101</v>
      </c>
      <c r="M761" s="3" t="s">
        <v>557</v>
      </c>
      <c r="N761" s="3" t="s">
        <v>557</v>
      </c>
      <c r="O761" s="3" t="s">
        <v>1238</v>
      </c>
      <c r="P761" s="3" t="s">
        <v>211</v>
      </c>
      <c r="Q761" s="3" t="s">
        <v>398</v>
      </c>
      <c r="R761" s="3" t="s">
        <v>120</v>
      </c>
      <c r="S761" s="3"/>
      <c r="T761" s="3"/>
      <c r="U761" s="3"/>
      <c r="V761" s="3"/>
      <c r="W761" s="3"/>
      <c r="X761" s="3"/>
      <c r="Y761" s="3"/>
      <c r="Z761" s="3"/>
      <c r="AA761" s="3">
        <v>31000</v>
      </c>
      <c r="AB761" s="3">
        <v>3500</v>
      </c>
      <c r="AC761" s="4">
        <v>43104</v>
      </c>
      <c r="AD761" s="3" t="s">
        <v>42</v>
      </c>
      <c r="AE761" s="3" t="s">
        <v>4102</v>
      </c>
      <c r="AF761" s="3">
        <v>0</v>
      </c>
    </row>
    <row r="762" spans="1:32" ht="27.95" x14ac:dyDescent="0.3">
      <c r="A762" s="5">
        <v>756</v>
      </c>
      <c r="B762" s="5" t="str">
        <f>"201900114422"</f>
        <v>201900114422</v>
      </c>
      <c r="C762" s="5" t="str">
        <f>"142077"</f>
        <v>142077</v>
      </c>
      <c r="D762" s="5" t="s">
        <v>4103</v>
      </c>
      <c r="E762" s="5">
        <v>20602629709</v>
      </c>
      <c r="F762" s="5" t="s">
        <v>4104</v>
      </c>
      <c r="G762" s="5" t="s">
        <v>4105</v>
      </c>
      <c r="H762" s="5" t="s">
        <v>58</v>
      </c>
      <c r="I762" s="5" t="s">
        <v>58</v>
      </c>
      <c r="J762" s="5" t="s">
        <v>71</v>
      </c>
      <c r="K762" s="5" t="s">
        <v>37</v>
      </c>
      <c r="L762" s="5" t="s">
        <v>557</v>
      </c>
      <c r="M762" s="5" t="s">
        <v>4106</v>
      </c>
      <c r="N762" s="5" t="s">
        <v>78</v>
      </c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>
        <v>14000</v>
      </c>
      <c r="AB762" s="5">
        <v>3200</v>
      </c>
      <c r="AC762" s="6">
        <v>43673</v>
      </c>
      <c r="AD762" s="5" t="s">
        <v>42</v>
      </c>
      <c r="AE762" s="5" t="s">
        <v>4107</v>
      </c>
      <c r="AF762" s="5">
        <v>0</v>
      </c>
    </row>
    <row r="763" spans="1:32" ht="41.95" x14ac:dyDescent="0.3">
      <c r="A763" s="3">
        <v>757</v>
      </c>
      <c r="B763" s="3" t="str">
        <f>"201800110971"</f>
        <v>201800110971</v>
      </c>
      <c r="C763" s="3" t="str">
        <f>"136136"</f>
        <v>136136</v>
      </c>
      <c r="D763" s="3" t="s">
        <v>4108</v>
      </c>
      <c r="E763" s="3">
        <v>20602284531</v>
      </c>
      <c r="F763" s="3" t="s">
        <v>4109</v>
      </c>
      <c r="G763" s="3" t="s">
        <v>4110</v>
      </c>
      <c r="H763" s="3" t="s">
        <v>219</v>
      </c>
      <c r="I763" s="3" t="s">
        <v>220</v>
      </c>
      <c r="J763" s="3" t="s">
        <v>1729</v>
      </c>
      <c r="K763" s="3" t="s">
        <v>37</v>
      </c>
      <c r="L763" s="3" t="s">
        <v>110</v>
      </c>
      <c r="M763" s="3" t="s">
        <v>110</v>
      </c>
      <c r="N763" s="3" t="s">
        <v>110</v>
      </c>
      <c r="O763" s="3" t="s">
        <v>669</v>
      </c>
      <c r="P763" s="3" t="s">
        <v>683</v>
      </c>
      <c r="Q763" s="3" t="s">
        <v>4111</v>
      </c>
      <c r="R763" s="3" t="s">
        <v>94</v>
      </c>
      <c r="S763" s="3"/>
      <c r="T763" s="3"/>
      <c r="U763" s="3"/>
      <c r="V763" s="3"/>
      <c r="W763" s="3"/>
      <c r="X763" s="3"/>
      <c r="Y763" s="3"/>
      <c r="Z763" s="3"/>
      <c r="AA763" s="3">
        <v>39000</v>
      </c>
      <c r="AB763" s="3">
        <v>5000</v>
      </c>
      <c r="AC763" s="4">
        <v>43297</v>
      </c>
      <c r="AD763" s="3" t="s">
        <v>42</v>
      </c>
      <c r="AE763" s="3" t="s">
        <v>4112</v>
      </c>
      <c r="AF763" s="3">
        <v>0</v>
      </c>
    </row>
    <row r="764" spans="1:32" x14ac:dyDescent="0.3">
      <c r="A764" s="5">
        <v>758</v>
      </c>
      <c r="B764" s="5" t="str">
        <f>"201800108154"</f>
        <v>201800108154</v>
      </c>
      <c r="C764" s="5" t="str">
        <f>"33371"</f>
        <v>33371</v>
      </c>
      <c r="D764" s="5" t="s">
        <v>4113</v>
      </c>
      <c r="E764" s="5">
        <v>20485842170</v>
      </c>
      <c r="F764" s="5" t="s">
        <v>3159</v>
      </c>
      <c r="G764" s="5" t="s">
        <v>4114</v>
      </c>
      <c r="H764" s="5" t="s">
        <v>108</v>
      </c>
      <c r="I764" s="5" t="s">
        <v>647</v>
      </c>
      <c r="J764" s="5" t="s">
        <v>1117</v>
      </c>
      <c r="K764" s="5" t="s">
        <v>37</v>
      </c>
      <c r="L764" s="5" t="s">
        <v>922</v>
      </c>
      <c r="M764" s="5" t="s">
        <v>922</v>
      </c>
      <c r="N764" s="5" t="s">
        <v>4115</v>
      </c>
      <c r="O764" s="5" t="s">
        <v>4116</v>
      </c>
      <c r="P764" s="5" t="s">
        <v>94</v>
      </c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>
        <v>37800</v>
      </c>
      <c r="AB764" s="5">
        <v>5000</v>
      </c>
      <c r="AC764" s="6">
        <v>43283</v>
      </c>
      <c r="AD764" s="5" t="s">
        <v>42</v>
      </c>
      <c r="AE764" s="5" t="s">
        <v>3161</v>
      </c>
      <c r="AF764" s="5">
        <v>0</v>
      </c>
    </row>
    <row r="765" spans="1:32" ht="27.95" x14ac:dyDescent="0.3">
      <c r="A765" s="3">
        <v>759</v>
      </c>
      <c r="B765" s="3" t="str">
        <f>"201800047832"</f>
        <v>201800047832</v>
      </c>
      <c r="C765" s="3" t="str">
        <f>"97457"</f>
        <v>97457</v>
      </c>
      <c r="D765" s="3" t="s">
        <v>4117</v>
      </c>
      <c r="E765" s="3">
        <v>20571202663</v>
      </c>
      <c r="F765" s="3" t="s">
        <v>4118</v>
      </c>
      <c r="G765" s="3" t="s">
        <v>4119</v>
      </c>
      <c r="H765" s="3" t="s">
        <v>58</v>
      </c>
      <c r="I765" s="3" t="s">
        <v>554</v>
      </c>
      <c r="J765" s="3" t="s">
        <v>554</v>
      </c>
      <c r="K765" s="3" t="s">
        <v>37</v>
      </c>
      <c r="L765" s="3" t="s">
        <v>4120</v>
      </c>
      <c r="M765" s="3" t="s">
        <v>166</v>
      </c>
      <c r="N765" s="3" t="s">
        <v>4121</v>
      </c>
      <c r="O765" s="3" t="s">
        <v>94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>
        <v>20000</v>
      </c>
      <c r="AB765" s="3">
        <v>5000</v>
      </c>
      <c r="AC765" s="4">
        <v>43183</v>
      </c>
      <c r="AD765" s="3" t="s">
        <v>42</v>
      </c>
      <c r="AE765" s="3" t="s">
        <v>4122</v>
      </c>
      <c r="AF765" s="3">
        <v>0</v>
      </c>
    </row>
    <row r="766" spans="1:32" ht="27.95" x14ac:dyDescent="0.3">
      <c r="A766" s="5">
        <v>760</v>
      </c>
      <c r="B766" s="5" t="str">
        <f>"202000084388"</f>
        <v>202000084388</v>
      </c>
      <c r="C766" s="5" t="str">
        <f>"85237"</f>
        <v>85237</v>
      </c>
      <c r="D766" s="5" t="s">
        <v>4123</v>
      </c>
      <c r="E766" s="5">
        <v>20528976701</v>
      </c>
      <c r="F766" s="5" t="s">
        <v>4124</v>
      </c>
      <c r="G766" s="5" t="s">
        <v>4125</v>
      </c>
      <c r="H766" s="5" t="s">
        <v>125</v>
      </c>
      <c r="I766" s="5" t="s">
        <v>509</v>
      </c>
      <c r="J766" s="5" t="s">
        <v>510</v>
      </c>
      <c r="K766" s="5" t="s">
        <v>37</v>
      </c>
      <c r="L766" s="5" t="s">
        <v>63</v>
      </c>
      <c r="M766" s="5" t="s">
        <v>4126</v>
      </c>
      <c r="N766" s="5" t="s">
        <v>3630</v>
      </c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>
        <v>12000</v>
      </c>
      <c r="AB766" s="5">
        <v>6250</v>
      </c>
      <c r="AC766" s="6">
        <v>44027</v>
      </c>
      <c r="AD766" s="6">
        <v>44392</v>
      </c>
      <c r="AE766" s="5" t="s">
        <v>4127</v>
      </c>
      <c r="AF766" s="5">
        <v>240</v>
      </c>
    </row>
    <row r="767" spans="1:32" ht="41.95" x14ac:dyDescent="0.3">
      <c r="A767" s="3">
        <v>761</v>
      </c>
      <c r="B767" s="3" t="str">
        <f>"201900204085"</f>
        <v>201900204085</v>
      </c>
      <c r="C767" s="3" t="str">
        <f>"14872"</f>
        <v>14872</v>
      </c>
      <c r="D767" s="3" t="s">
        <v>4128</v>
      </c>
      <c r="E767" s="3">
        <v>20127765279</v>
      </c>
      <c r="F767" s="3" t="s">
        <v>1115</v>
      </c>
      <c r="G767" s="3" t="s">
        <v>4129</v>
      </c>
      <c r="H767" s="3" t="s">
        <v>58</v>
      </c>
      <c r="I767" s="3" t="s">
        <v>58</v>
      </c>
      <c r="J767" s="3" t="s">
        <v>1756</v>
      </c>
      <c r="K767" s="3" t="s">
        <v>37</v>
      </c>
      <c r="L767" s="3" t="s">
        <v>263</v>
      </c>
      <c r="M767" s="3" t="s">
        <v>174</v>
      </c>
      <c r="N767" s="3" t="s">
        <v>775</v>
      </c>
      <c r="O767" s="3" t="s">
        <v>63</v>
      </c>
      <c r="P767" s="3" t="s">
        <v>381</v>
      </c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>
        <v>22000</v>
      </c>
      <c r="AB767" s="3">
        <v>2000</v>
      </c>
      <c r="AC767" s="4">
        <v>43809</v>
      </c>
      <c r="AD767" s="3" t="s">
        <v>42</v>
      </c>
      <c r="AE767" s="3" t="s">
        <v>279</v>
      </c>
      <c r="AF767" s="3">
        <v>720</v>
      </c>
    </row>
    <row r="768" spans="1:32" ht="27.95" x14ac:dyDescent="0.3">
      <c r="A768" s="5">
        <v>762</v>
      </c>
      <c r="B768" s="5" t="str">
        <f>"201900073227"</f>
        <v>201900073227</v>
      </c>
      <c r="C768" s="5" t="str">
        <f>"98935"</f>
        <v>98935</v>
      </c>
      <c r="D768" s="5" t="s">
        <v>4130</v>
      </c>
      <c r="E768" s="5">
        <v>10225214561</v>
      </c>
      <c r="F768" s="5" t="s">
        <v>4131</v>
      </c>
      <c r="G768" s="5" t="s">
        <v>4132</v>
      </c>
      <c r="H768" s="5" t="s">
        <v>125</v>
      </c>
      <c r="I768" s="5" t="s">
        <v>1176</v>
      </c>
      <c r="J768" s="5" t="s">
        <v>1177</v>
      </c>
      <c r="K768" s="5" t="s">
        <v>37</v>
      </c>
      <c r="L768" s="5" t="s">
        <v>102</v>
      </c>
      <c r="M768" s="5" t="s">
        <v>1495</v>
      </c>
      <c r="N768" s="5" t="s">
        <v>94</v>
      </c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>
        <v>10000</v>
      </c>
      <c r="AB768" s="5">
        <v>5000</v>
      </c>
      <c r="AC768" s="6">
        <v>43598</v>
      </c>
      <c r="AD768" s="5" t="s">
        <v>42</v>
      </c>
      <c r="AE768" s="5" t="s">
        <v>4131</v>
      </c>
      <c r="AF768" s="5">
        <v>0</v>
      </c>
    </row>
    <row r="769" spans="1:32" ht="41.95" x14ac:dyDescent="0.3">
      <c r="A769" s="3">
        <v>763</v>
      </c>
      <c r="B769" s="3" t="str">
        <f>"202000084391"</f>
        <v>202000084391</v>
      </c>
      <c r="C769" s="3" t="str">
        <f>"40806"</f>
        <v>40806</v>
      </c>
      <c r="D769" s="3" t="s">
        <v>4133</v>
      </c>
      <c r="E769" s="3">
        <v>20455720991</v>
      </c>
      <c r="F769" s="3" t="s">
        <v>4134</v>
      </c>
      <c r="G769" s="3" t="s">
        <v>4135</v>
      </c>
      <c r="H769" s="3" t="s">
        <v>935</v>
      </c>
      <c r="I769" s="3" t="s">
        <v>1133</v>
      </c>
      <c r="J769" s="3" t="s">
        <v>1133</v>
      </c>
      <c r="K769" s="3" t="s">
        <v>37</v>
      </c>
      <c r="L769" s="3" t="s">
        <v>241</v>
      </c>
      <c r="M769" s="3" t="s">
        <v>459</v>
      </c>
      <c r="N769" s="3" t="s">
        <v>825</v>
      </c>
      <c r="O769" s="3" t="s">
        <v>276</v>
      </c>
      <c r="P769" s="3" t="s">
        <v>78</v>
      </c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>
        <v>6300</v>
      </c>
      <c r="AB769" s="3">
        <v>3200</v>
      </c>
      <c r="AC769" s="4">
        <v>44030</v>
      </c>
      <c r="AD769" s="3" t="s">
        <v>42</v>
      </c>
      <c r="AE769" s="3" t="s">
        <v>4136</v>
      </c>
      <c r="AF769" s="3">
        <v>720</v>
      </c>
    </row>
    <row r="770" spans="1:32" x14ac:dyDescent="0.3">
      <c r="A770" s="5">
        <v>764</v>
      </c>
      <c r="B770" s="5" t="str">
        <f>"201400061025"</f>
        <v>201400061025</v>
      </c>
      <c r="C770" s="5" t="str">
        <f>"8103"</f>
        <v>8103</v>
      </c>
      <c r="D770" s="5" t="s">
        <v>4137</v>
      </c>
      <c r="E770" s="5">
        <v>20573086644</v>
      </c>
      <c r="F770" s="5" t="s">
        <v>4138</v>
      </c>
      <c r="G770" s="5" t="s">
        <v>4139</v>
      </c>
      <c r="H770" s="5" t="s">
        <v>125</v>
      </c>
      <c r="I770" s="5" t="s">
        <v>125</v>
      </c>
      <c r="J770" s="5" t="s">
        <v>1381</v>
      </c>
      <c r="K770" s="5" t="s">
        <v>37</v>
      </c>
      <c r="L770" s="5" t="s">
        <v>174</v>
      </c>
      <c r="M770" s="5" t="s">
        <v>1387</v>
      </c>
      <c r="N770" s="5" t="s">
        <v>2270</v>
      </c>
      <c r="O770" s="5" t="s">
        <v>397</v>
      </c>
      <c r="P770" s="5" t="s">
        <v>397</v>
      </c>
      <c r="Q770" s="5" t="s">
        <v>248</v>
      </c>
      <c r="R770" s="5"/>
      <c r="S770" s="5"/>
      <c r="T770" s="5"/>
      <c r="U770" s="5"/>
      <c r="V770" s="5"/>
      <c r="W770" s="5"/>
      <c r="X770" s="5"/>
      <c r="Y770" s="5"/>
      <c r="Z770" s="5"/>
      <c r="AA770" s="5">
        <v>21500</v>
      </c>
      <c r="AB770" s="5">
        <v>3000</v>
      </c>
      <c r="AC770" s="6">
        <v>41787</v>
      </c>
      <c r="AD770" s="5" t="s">
        <v>42</v>
      </c>
      <c r="AE770" s="5" t="s">
        <v>4140</v>
      </c>
      <c r="AF770" s="5">
        <v>240</v>
      </c>
    </row>
    <row r="771" spans="1:32" ht="27.95" x14ac:dyDescent="0.3">
      <c r="A771" s="3">
        <v>765</v>
      </c>
      <c r="B771" s="3" t="str">
        <f>"202000016503"</f>
        <v>202000016503</v>
      </c>
      <c r="C771" s="3" t="str">
        <f>"15418"</f>
        <v>15418</v>
      </c>
      <c r="D771" s="3" t="s">
        <v>4141</v>
      </c>
      <c r="E771" s="3">
        <v>20561113875</v>
      </c>
      <c r="F771" s="3" t="s">
        <v>4142</v>
      </c>
      <c r="G771" s="3" t="s">
        <v>4143</v>
      </c>
      <c r="H771" s="3" t="s">
        <v>36</v>
      </c>
      <c r="I771" s="3" t="s">
        <v>409</v>
      </c>
      <c r="J771" s="3" t="s">
        <v>2199</v>
      </c>
      <c r="K771" s="3" t="s">
        <v>37</v>
      </c>
      <c r="L771" s="3" t="s">
        <v>4144</v>
      </c>
      <c r="M771" s="3" t="s">
        <v>4145</v>
      </c>
      <c r="N771" s="3" t="s">
        <v>4146</v>
      </c>
      <c r="O771" s="3" t="s">
        <v>2632</v>
      </c>
      <c r="P771" s="3" t="s">
        <v>4147</v>
      </c>
      <c r="Q771" s="3" t="s">
        <v>78</v>
      </c>
      <c r="R771" s="3"/>
      <c r="S771" s="3"/>
      <c r="T771" s="3"/>
      <c r="U771" s="3"/>
      <c r="V771" s="3"/>
      <c r="W771" s="3"/>
      <c r="X771" s="3"/>
      <c r="Y771" s="3"/>
      <c r="Z771" s="3"/>
      <c r="AA771" s="3">
        <v>18510</v>
      </c>
      <c r="AB771" s="3">
        <v>3200</v>
      </c>
      <c r="AC771" s="4">
        <v>44103</v>
      </c>
      <c r="AD771" s="3" t="s">
        <v>42</v>
      </c>
      <c r="AE771" s="3" t="s">
        <v>4148</v>
      </c>
      <c r="AF771" s="3">
        <v>0</v>
      </c>
    </row>
    <row r="772" spans="1:32" ht="27.95" x14ac:dyDescent="0.3">
      <c r="A772" s="5">
        <v>766</v>
      </c>
      <c r="B772" s="5" t="str">
        <f>"201800078960"</f>
        <v>201800078960</v>
      </c>
      <c r="C772" s="5" t="str">
        <f>"136127"</f>
        <v>136127</v>
      </c>
      <c r="D772" s="5" t="s">
        <v>4149</v>
      </c>
      <c r="E772" s="5">
        <v>10076848209</v>
      </c>
      <c r="F772" s="5" t="s">
        <v>4150</v>
      </c>
      <c r="G772" s="5" t="s">
        <v>4151</v>
      </c>
      <c r="H772" s="5" t="s">
        <v>58</v>
      </c>
      <c r="I772" s="5" t="s">
        <v>373</v>
      </c>
      <c r="J772" s="5" t="s">
        <v>3994</v>
      </c>
      <c r="K772" s="5" t="s">
        <v>37</v>
      </c>
      <c r="L772" s="5" t="s">
        <v>4152</v>
      </c>
      <c r="M772" s="5" t="s">
        <v>381</v>
      </c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>
        <v>6000</v>
      </c>
      <c r="AB772" s="5">
        <v>2000</v>
      </c>
      <c r="AC772" s="6">
        <v>43241</v>
      </c>
      <c r="AD772" s="5" t="s">
        <v>42</v>
      </c>
      <c r="AE772" s="5" t="s">
        <v>4153</v>
      </c>
      <c r="AF772" s="5">
        <v>720</v>
      </c>
    </row>
    <row r="773" spans="1:32" ht="41.95" x14ac:dyDescent="0.3">
      <c r="A773" s="3">
        <v>767</v>
      </c>
      <c r="B773" s="3" t="str">
        <f>"202000125834"</f>
        <v>202000125834</v>
      </c>
      <c r="C773" s="3" t="str">
        <f>"134062"</f>
        <v>134062</v>
      </c>
      <c r="D773" s="3" t="s">
        <v>4154</v>
      </c>
      <c r="E773" s="3">
        <v>20529375663</v>
      </c>
      <c r="F773" s="3" t="s">
        <v>4155</v>
      </c>
      <c r="G773" s="3" t="s">
        <v>4156</v>
      </c>
      <c r="H773" s="3" t="s">
        <v>134</v>
      </c>
      <c r="I773" s="3" t="s">
        <v>134</v>
      </c>
      <c r="J773" s="3" t="s">
        <v>134</v>
      </c>
      <c r="K773" s="3" t="s">
        <v>37</v>
      </c>
      <c r="L773" s="3" t="s">
        <v>232</v>
      </c>
      <c r="M773" s="3" t="s">
        <v>4157</v>
      </c>
      <c r="N773" s="3" t="s">
        <v>166</v>
      </c>
      <c r="O773" s="3" t="s">
        <v>77</v>
      </c>
      <c r="P773" s="3" t="s">
        <v>480</v>
      </c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>
        <v>29200</v>
      </c>
      <c r="AB773" s="3">
        <v>7800</v>
      </c>
      <c r="AC773" s="4">
        <v>44102</v>
      </c>
      <c r="AD773" s="3" t="s">
        <v>42</v>
      </c>
      <c r="AE773" s="3" t="s">
        <v>4158</v>
      </c>
      <c r="AF773" s="3">
        <v>0</v>
      </c>
    </row>
    <row r="774" spans="1:32" x14ac:dyDescent="0.3">
      <c r="A774" s="5">
        <v>768</v>
      </c>
      <c r="B774" s="5" t="str">
        <f>"202000075953"</f>
        <v>202000075953</v>
      </c>
      <c r="C774" s="5" t="str">
        <f>"21636"</f>
        <v>21636</v>
      </c>
      <c r="D774" s="5" t="s">
        <v>4159</v>
      </c>
      <c r="E774" s="5">
        <v>20134502003</v>
      </c>
      <c r="F774" s="5" t="s">
        <v>4160</v>
      </c>
      <c r="G774" s="5" t="s">
        <v>4161</v>
      </c>
      <c r="H774" s="5" t="s">
        <v>450</v>
      </c>
      <c r="I774" s="5" t="s">
        <v>450</v>
      </c>
      <c r="J774" s="5" t="s">
        <v>450</v>
      </c>
      <c r="K774" s="5" t="s">
        <v>37</v>
      </c>
      <c r="L774" s="5" t="s">
        <v>4162</v>
      </c>
      <c r="M774" s="5" t="s">
        <v>4162</v>
      </c>
      <c r="N774" s="5" t="s">
        <v>397</v>
      </c>
      <c r="O774" s="5" t="s">
        <v>61</v>
      </c>
      <c r="P774" s="5" t="s">
        <v>72</v>
      </c>
      <c r="Q774" s="5" t="s">
        <v>4163</v>
      </c>
      <c r="R774" s="5" t="s">
        <v>555</v>
      </c>
      <c r="S774" s="5" t="s">
        <v>94</v>
      </c>
      <c r="T774" s="5"/>
      <c r="U774" s="5"/>
      <c r="V774" s="5"/>
      <c r="W774" s="5"/>
      <c r="X774" s="5"/>
      <c r="Y774" s="5"/>
      <c r="Z774" s="5"/>
      <c r="AA774" s="5">
        <v>47000</v>
      </c>
      <c r="AB774" s="5">
        <v>5000</v>
      </c>
      <c r="AC774" s="6">
        <v>44014</v>
      </c>
      <c r="AD774" s="5" t="s">
        <v>42</v>
      </c>
      <c r="AE774" s="5" t="s">
        <v>4164</v>
      </c>
      <c r="AF774" s="5">
        <v>120</v>
      </c>
    </row>
    <row r="775" spans="1:32" x14ac:dyDescent="0.3">
      <c r="A775" s="3">
        <v>769</v>
      </c>
      <c r="B775" s="3" t="str">
        <f>"201900208036"</f>
        <v>201900208036</v>
      </c>
      <c r="C775" s="3" t="str">
        <f>"15404"</f>
        <v>15404</v>
      </c>
      <c r="D775" s="3" t="s">
        <v>4165</v>
      </c>
      <c r="E775" s="3">
        <v>20541392417</v>
      </c>
      <c r="F775" s="3" t="s">
        <v>4166</v>
      </c>
      <c r="G775" s="3" t="s">
        <v>4167</v>
      </c>
      <c r="H775" s="3" t="s">
        <v>108</v>
      </c>
      <c r="I775" s="3" t="s">
        <v>647</v>
      </c>
      <c r="J775" s="3" t="s">
        <v>774</v>
      </c>
      <c r="K775" s="3" t="s">
        <v>37</v>
      </c>
      <c r="L775" s="3" t="s">
        <v>51</v>
      </c>
      <c r="M775" s="3" t="s">
        <v>102</v>
      </c>
      <c r="N775" s="3" t="s">
        <v>172</v>
      </c>
      <c r="O775" s="3" t="s">
        <v>754</v>
      </c>
      <c r="P775" s="3" t="s">
        <v>94</v>
      </c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>
        <v>15500</v>
      </c>
      <c r="AB775" s="3">
        <v>5000</v>
      </c>
      <c r="AC775" s="4">
        <v>43813</v>
      </c>
      <c r="AD775" s="3" t="s">
        <v>42</v>
      </c>
      <c r="AE775" s="3" t="s">
        <v>4168</v>
      </c>
      <c r="AF775" s="3">
        <v>480</v>
      </c>
    </row>
    <row r="776" spans="1:32" x14ac:dyDescent="0.3">
      <c r="A776" s="5">
        <v>770</v>
      </c>
      <c r="B776" s="5" t="str">
        <f>"201600125226"</f>
        <v>201600125226</v>
      </c>
      <c r="C776" s="5" t="str">
        <f>"85151"</f>
        <v>85151</v>
      </c>
      <c r="D776" s="5" t="s">
        <v>4169</v>
      </c>
      <c r="E776" s="5">
        <v>20507312277</v>
      </c>
      <c r="F776" s="5" t="s">
        <v>4170</v>
      </c>
      <c r="G776" s="5" t="s">
        <v>4171</v>
      </c>
      <c r="H776" s="5" t="s">
        <v>36</v>
      </c>
      <c r="I776" s="5" t="s">
        <v>409</v>
      </c>
      <c r="J776" s="5" t="s">
        <v>409</v>
      </c>
      <c r="K776" s="5" t="s">
        <v>37</v>
      </c>
      <c r="L776" s="5" t="s">
        <v>477</v>
      </c>
      <c r="M776" s="5" t="s">
        <v>887</v>
      </c>
      <c r="N776" s="5" t="s">
        <v>1007</v>
      </c>
      <c r="O776" s="5" t="s">
        <v>1153</v>
      </c>
      <c r="P776" s="5" t="s">
        <v>248</v>
      </c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>
        <v>12500</v>
      </c>
      <c r="AB776" s="5">
        <v>3000</v>
      </c>
      <c r="AC776" s="6">
        <v>42636</v>
      </c>
      <c r="AD776" s="5" t="s">
        <v>42</v>
      </c>
      <c r="AE776" s="5" t="s">
        <v>4172</v>
      </c>
      <c r="AF776" s="5">
        <v>720</v>
      </c>
    </row>
    <row r="777" spans="1:32" ht="27.95" x14ac:dyDescent="0.3">
      <c r="A777" s="3">
        <v>771</v>
      </c>
      <c r="B777" s="3" t="str">
        <f>"202000145816"</f>
        <v>202000145816</v>
      </c>
      <c r="C777" s="3" t="str">
        <f>"16742"</f>
        <v>16742</v>
      </c>
      <c r="D777" s="3" t="s">
        <v>4173</v>
      </c>
      <c r="E777" s="3">
        <v>20189815051</v>
      </c>
      <c r="F777" s="3" t="s">
        <v>4174</v>
      </c>
      <c r="G777" s="3" t="s">
        <v>4175</v>
      </c>
      <c r="H777" s="3" t="s">
        <v>58</v>
      </c>
      <c r="I777" s="3" t="s">
        <v>58</v>
      </c>
      <c r="J777" s="3" t="s">
        <v>99</v>
      </c>
      <c r="K777" s="3" t="s">
        <v>37</v>
      </c>
      <c r="L777" s="3" t="s">
        <v>4176</v>
      </c>
      <c r="M777" s="3" t="s">
        <v>63</v>
      </c>
      <c r="N777" s="3" t="s">
        <v>775</v>
      </c>
      <c r="O777" s="3" t="s">
        <v>4177</v>
      </c>
      <c r="P777" s="3" t="s">
        <v>398</v>
      </c>
      <c r="Q777" s="3" t="s">
        <v>62</v>
      </c>
      <c r="R777" s="3" t="s">
        <v>103</v>
      </c>
      <c r="S777" s="3"/>
      <c r="T777" s="3"/>
      <c r="U777" s="3"/>
      <c r="V777" s="3"/>
      <c r="W777" s="3"/>
      <c r="X777" s="3"/>
      <c r="Y777" s="3"/>
      <c r="Z777" s="3"/>
      <c r="AA777" s="3">
        <v>23500</v>
      </c>
      <c r="AB777" s="3">
        <v>2500</v>
      </c>
      <c r="AC777" s="4">
        <v>44127</v>
      </c>
      <c r="AD777" s="3" t="s">
        <v>42</v>
      </c>
      <c r="AE777" s="3" t="s">
        <v>4178</v>
      </c>
      <c r="AF777" s="3">
        <v>0</v>
      </c>
    </row>
    <row r="778" spans="1:32" ht="27.95" x14ac:dyDescent="0.3">
      <c r="A778" s="5">
        <v>772</v>
      </c>
      <c r="B778" s="5" t="str">
        <f>"201700214971"</f>
        <v>201700214971</v>
      </c>
      <c r="C778" s="5" t="str">
        <f>"19924"</f>
        <v>19924</v>
      </c>
      <c r="D778" s="5" t="s">
        <v>4179</v>
      </c>
      <c r="E778" s="5">
        <v>20397896553</v>
      </c>
      <c r="F778" s="5" t="s">
        <v>4180</v>
      </c>
      <c r="G778" s="5" t="s">
        <v>4181</v>
      </c>
      <c r="H778" s="5" t="s">
        <v>219</v>
      </c>
      <c r="I778" s="5" t="s">
        <v>220</v>
      </c>
      <c r="J778" s="5" t="s">
        <v>220</v>
      </c>
      <c r="K778" s="5" t="s">
        <v>37</v>
      </c>
      <c r="L778" s="5" t="s">
        <v>1001</v>
      </c>
      <c r="M778" s="5" t="s">
        <v>1001</v>
      </c>
      <c r="N778" s="5" t="s">
        <v>52</v>
      </c>
      <c r="O778" s="5" t="s">
        <v>52</v>
      </c>
      <c r="P778" s="5" t="s">
        <v>73</v>
      </c>
      <c r="Q778" s="5" t="s">
        <v>562</v>
      </c>
      <c r="R778" s="5" t="s">
        <v>94</v>
      </c>
      <c r="S778" s="5"/>
      <c r="T778" s="5"/>
      <c r="U778" s="5"/>
      <c r="V778" s="5"/>
      <c r="W778" s="5"/>
      <c r="X778" s="5"/>
      <c r="Y778" s="5"/>
      <c r="Z778" s="5"/>
      <c r="AA778" s="5">
        <v>32000</v>
      </c>
      <c r="AB778" s="5">
        <v>5000</v>
      </c>
      <c r="AC778" s="6">
        <v>43091</v>
      </c>
      <c r="AD778" s="5" t="s">
        <v>42</v>
      </c>
      <c r="AE778" s="5" t="s">
        <v>4182</v>
      </c>
      <c r="AF778" s="5">
        <v>0</v>
      </c>
    </row>
    <row r="779" spans="1:32" ht="41.95" x14ac:dyDescent="0.3">
      <c r="A779" s="3">
        <v>773</v>
      </c>
      <c r="B779" s="3" t="str">
        <f>"201700220238"</f>
        <v>201700220238</v>
      </c>
      <c r="C779" s="3" t="str">
        <f>"130277"</f>
        <v>130277</v>
      </c>
      <c r="D779" s="3" t="s">
        <v>4183</v>
      </c>
      <c r="E779" s="3">
        <v>20568600453</v>
      </c>
      <c r="F779" s="3" t="s">
        <v>850</v>
      </c>
      <c r="G779" s="3" t="s">
        <v>4184</v>
      </c>
      <c r="H779" s="3" t="s">
        <v>58</v>
      </c>
      <c r="I779" s="3" t="s">
        <v>1108</v>
      </c>
      <c r="J779" s="3" t="s">
        <v>3852</v>
      </c>
      <c r="K779" s="3" t="s">
        <v>37</v>
      </c>
      <c r="L779" s="3" t="s">
        <v>72</v>
      </c>
      <c r="M779" s="3" t="s">
        <v>499</v>
      </c>
      <c r="N779" s="3" t="s">
        <v>154</v>
      </c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>
        <v>16000</v>
      </c>
      <c r="AB779" s="3">
        <v>6000</v>
      </c>
      <c r="AC779" s="4">
        <v>43097</v>
      </c>
      <c r="AD779" s="3" t="s">
        <v>42</v>
      </c>
      <c r="AE779" s="3" t="s">
        <v>853</v>
      </c>
      <c r="AF779" s="3">
        <v>0</v>
      </c>
    </row>
    <row r="780" spans="1:32" ht="27.95" x14ac:dyDescent="0.3">
      <c r="A780" s="5">
        <v>774</v>
      </c>
      <c r="B780" s="5" t="str">
        <f>"201900167312"</f>
        <v>201900167312</v>
      </c>
      <c r="C780" s="5" t="str">
        <f>"138173"</f>
        <v>138173</v>
      </c>
      <c r="D780" s="5" t="s">
        <v>4185</v>
      </c>
      <c r="E780" s="5">
        <v>20605319972</v>
      </c>
      <c r="F780" s="5" t="s">
        <v>4186</v>
      </c>
      <c r="G780" s="5" t="s">
        <v>4187</v>
      </c>
      <c r="H780" s="5" t="s">
        <v>125</v>
      </c>
      <c r="I780" s="5" t="s">
        <v>125</v>
      </c>
      <c r="J780" s="5" t="s">
        <v>1381</v>
      </c>
      <c r="K780" s="5" t="s">
        <v>37</v>
      </c>
      <c r="L780" s="5" t="s">
        <v>166</v>
      </c>
      <c r="M780" s="5" t="s">
        <v>166</v>
      </c>
      <c r="N780" s="5" t="s">
        <v>166</v>
      </c>
      <c r="O780" s="5" t="s">
        <v>1016</v>
      </c>
      <c r="P780" s="5" t="s">
        <v>94</v>
      </c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>
        <v>40000</v>
      </c>
      <c r="AB780" s="5">
        <v>5000</v>
      </c>
      <c r="AC780" s="6">
        <v>43755</v>
      </c>
      <c r="AD780" s="5" t="s">
        <v>42</v>
      </c>
      <c r="AE780" s="5" t="s">
        <v>4188</v>
      </c>
      <c r="AF780" s="5">
        <v>0</v>
      </c>
    </row>
    <row r="781" spans="1:32" x14ac:dyDescent="0.3">
      <c r="A781" s="3">
        <v>775</v>
      </c>
      <c r="B781" s="3" t="str">
        <f>"201700146325"</f>
        <v>201700146325</v>
      </c>
      <c r="C781" s="3" t="str">
        <f>"7296"</f>
        <v>7296</v>
      </c>
      <c r="D781" s="3" t="s">
        <v>4189</v>
      </c>
      <c r="E781" s="3">
        <v>20132923028</v>
      </c>
      <c r="F781" s="3" t="s">
        <v>4190</v>
      </c>
      <c r="G781" s="3" t="s">
        <v>4191</v>
      </c>
      <c r="H781" s="3" t="s">
        <v>125</v>
      </c>
      <c r="I781" s="3" t="s">
        <v>125</v>
      </c>
      <c r="J781" s="3" t="s">
        <v>126</v>
      </c>
      <c r="K781" s="3" t="s">
        <v>37</v>
      </c>
      <c r="L781" s="3" t="s">
        <v>1686</v>
      </c>
      <c r="M781" s="3" t="s">
        <v>60</v>
      </c>
      <c r="N781" s="3" t="s">
        <v>61</v>
      </c>
      <c r="O781" s="3" t="s">
        <v>61</v>
      </c>
      <c r="P781" s="3" t="s">
        <v>72</v>
      </c>
      <c r="Q781" s="3" t="s">
        <v>72</v>
      </c>
      <c r="R781" s="3" t="s">
        <v>72</v>
      </c>
      <c r="S781" s="3" t="s">
        <v>1293</v>
      </c>
      <c r="T781" s="3" t="s">
        <v>94</v>
      </c>
      <c r="U781" s="3"/>
      <c r="V781" s="3"/>
      <c r="W781" s="3"/>
      <c r="X781" s="3"/>
      <c r="Y781" s="3"/>
      <c r="Z781" s="3"/>
      <c r="AA781" s="3">
        <v>60800</v>
      </c>
      <c r="AB781" s="3">
        <v>5000</v>
      </c>
      <c r="AC781" s="4">
        <v>42990</v>
      </c>
      <c r="AD781" s="3" t="s">
        <v>42</v>
      </c>
      <c r="AE781" s="3" t="s">
        <v>1549</v>
      </c>
      <c r="AF781" s="3">
        <v>0</v>
      </c>
    </row>
    <row r="782" spans="1:32" ht="27.95" x14ac:dyDescent="0.3">
      <c r="A782" s="5">
        <v>776</v>
      </c>
      <c r="B782" s="5" t="str">
        <f>"201800023758"</f>
        <v>201800023758</v>
      </c>
      <c r="C782" s="5" t="str">
        <f>"19906"</f>
        <v>19906</v>
      </c>
      <c r="D782" s="5" t="s">
        <v>4192</v>
      </c>
      <c r="E782" s="5">
        <v>20602684718</v>
      </c>
      <c r="F782" s="5" t="s">
        <v>4193</v>
      </c>
      <c r="G782" s="5" t="s">
        <v>4194</v>
      </c>
      <c r="H782" s="5" t="s">
        <v>108</v>
      </c>
      <c r="I782" s="5" t="s">
        <v>647</v>
      </c>
      <c r="J782" s="5" t="s">
        <v>4195</v>
      </c>
      <c r="K782" s="5" t="s">
        <v>37</v>
      </c>
      <c r="L782" s="5" t="s">
        <v>862</v>
      </c>
      <c r="M782" s="5" t="s">
        <v>692</v>
      </c>
      <c r="N782" s="5" t="s">
        <v>4196</v>
      </c>
      <c r="O782" s="5" t="s">
        <v>4197</v>
      </c>
      <c r="P782" s="5" t="s">
        <v>94</v>
      </c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>
        <v>26200</v>
      </c>
      <c r="AB782" s="5">
        <v>5000</v>
      </c>
      <c r="AC782" s="6">
        <v>43145</v>
      </c>
      <c r="AD782" s="5" t="s">
        <v>42</v>
      </c>
      <c r="AE782" s="5" t="s">
        <v>4198</v>
      </c>
      <c r="AF782" s="5">
        <v>0</v>
      </c>
    </row>
    <row r="783" spans="1:32" ht="27.95" x14ac:dyDescent="0.3">
      <c r="A783" s="3">
        <v>777</v>
      </c>
      <c r="B783" s="3" t="str">
        <f>"201600128648"</f>
        <v>201600128648</v>
      </c>
      <c r="C783" s="3" t="str">
        <f>"19949"</f>
        <v>19949</v>
      </c>
      <c r="D783" s="3" t="s">
        <v>4199</v>
      </c>
      <c r="E783" s="3">
        <v>20508607106</v>
      </c>
      <c r="F783" s="3" t="s">
        <v>4200</v>
      </c>
      <c r="G783" s="3" t="s">
        <v>4201</v>
      </c>
      <c r="H783" s="3" t="s">
        <v>58</v>
      </c>
      <c r="I783" s="3" t="s">
        <v>58</v>
      </c>
      <c r="J783" s="3" t="s">
        <v>626</v>
      </c>
      <c r="K783" s="3" t="s">
        <v>37</v>
      </c>
      <c r="L783" s="3" t="s">
        <v>4202</v>
      </c>
      <c r="M783" s="3" t="s">
        <v>4203</v>
      </c>
      <c r="N783" s="3" t="s">
        <v>4203</v>
      </c>
      <c r="O783" s="3" t="s">
        <v>4203</v>
      </c>
      <c r="P783" s="3" t="s">
        <v>4204</v>
      </c>
      <c r="Q783" s="3" t="s">
        <v>174</v>
      </c>
      <c r="R783" s="3" t="s">
        <v>62</v>
      </c>
      <c r="S783" s="3"/>
      <c r="T783" s="3"/>
      <c r="U783" s="3"/>
      <c r="V783" s="3"/>
      <c r="W783" s="3"/>
      <c r="X783" s="3"/>
      <c r="Y783" s="3"/>
      <c r="Z783" s="3"/>
      <c r="AA783" s="3">
        <v>39600</v>
      </c>
      <c r="AB783" s="3">
        <v>4500</v>
      </c>
      <c r="AC783" s="4">
        <v>42661</v>
      </c>
      <c r="AD783" s="3" t="s">
        <v>42</v>
      </c>
      <c r="AE783" s="3" t="s">
        <v>4205</v>
      </c>
      <c r="AF783" s="3">
        <v>0</v>
      </c>
    </row>
    <row r="784" spans="1:32" ht="27.95" x14ac:dyDescent="0.3">
      <c r="A784" s="5">
        <v>778</v>
      </c>
      <c r="B784" s="5" t="str">
        <f>"201600135713"</f>
        <v>201600135713</v>
      </c>
      <c r="C784" s="5" t="str">
        <f>"18406"</f>
        <v>18406</v>
      </c>
      <c r="D784" s="5" t="s">
        <v>4206</v>
      </c>
      <c r="E784" s="5">
        <v>20354793416</v>
      </c>
      <c r="F784" s="5" t="s">
        <v>701</v>
      </c>
      <c r="G784" s="5" t="s">
        <v>4207</v>
      </c>
      <c r="H784" s="5" t="s">
        <v>219</v>
      </c>
      <c r="I784" s="5" t="s">
        <v>220</v>
      </c>
      <c r="J784" s="5" t="s">
        <v>220</v>
      </c>
      <c r="K784" s="5" t="s">
        <v>37</v>
      </c>
      <c r="L784" s="5" t="s">
        <v>52</v>
      </c>
      <c r="M784" s="5" t="s">
        <v>990</v>
      </c>
      <c r="N784" s="5" t="s">
        <v>4208</v>
      </c>
      <c r="O784" s="5" t="s">
        <v>154</v>
      </c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>
        <v>24000</v>
      </c>
      <c r="AB784" s="5">
        <v>6000</v>
      </c>
      <c r="AC784" s="6">
        <v>42635</v>
      </c>
      <c r="AD784" s="5" t="s">
        <v>42</v>
      </c>
      <c r="AE784" s="5" t="s">
        <v>705</v>
      </c>
      <c r="AF784" s="5">
        <v>0</v>
      </c>
    </row>
    <row r="785" spans="1:32" x14ac:dyDescent="0.3">
      <c r="A785" s="3">
        <v>779</v>
      </c>
      <c r="B785" s="3" t="str">
        <f>"201600109758"</f>
        <v>201600109758</v>
      </c>
      <c r="C785" s="3" t="str">
        <f>"19890"</f>
        <v>19890</v>
      </c>
      <c r="D785" s="3" t="s">
        <v>4209</v>
      </c>
      <c r="E785" s="3">
        <v>20534650567</v>
      </c>
      <c r="F785" s="3" t="s">
        <v>4210</v>
      </c>
      <c r="G785" s="3" t="s">
        <v>4211</v>
      </c>
      <c r="H785" s="3" t="s">
        <v>47</v>
      </c>
      <c r="I785" s="3" t="s">
        <v>47</v>
      </c>
      <c r="J785" s="3" t="s">
        <v>2074</v>
      </c>
      <c r="K785" s="3" t="s">
        <v>37</v>
      </c>
      <c r="L785" s="3" t="s">
        <v>477</v>
      </c>
      <c r="M785" s="3" t="s">
        <v>74</v>
      </c>
      <c r="N785" s="3" t="s">
        <v>555</v>
      </c>
      <c r="O785" s="3" t="s">
        <v>78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>
        <v>11000</v>
      </c>
      <c r="AB785" s="3">
        <v>3200</v>
      </c>
      <c r="AC785" s="4">
        <v>42583</v>
      </c>
      <c r="AD785" s="3" t="s">
        <v>42</v>
      </c>
      <c r="AE785" s="3" t="s">
        <v>4212</v>
      </c>
      <c r="AF785" s="3">
        <v>0</v>
      </c>
    </row>
    <row r="786" spans="1:32" ht="27.95" x14ac:dyDescent="0.3">
      <c r="A786" s="5">
        <v>780</v>
      </c>
      <c r="B786" s="5" t="str">
        <f>"202000103163"</f>
        <v>202000103163</v>
      </c>
      <c r="C786" s="5" t="str">
        <f>"33541"</f>
        <v>33541</v>
      </c>
      <c r="D786" s="5" t="s">
        <v>4213</v>
      </c>
      <c r="E786" s="5">
        <v>20447349401</v>
      </c>
      <c r="F786" s="5" t="s">
        <v>4214</v>
      </c>
      <c r="G786" s="5" t="s">
        <v>4215</v>
      </c>
      <c r="H786" s="5" t="s">
        <v>125</v>
      </c>
      <c r="I786" s="5" t="s">
        <v>125</v>
      </c>
      <c r="J786" s="5" t="s">
        <v>126</v>
      </c>
      <c r="K786" s="5" t="s">
        <v>37</v>
      </c>
      <c r="L786" s="5" t="s">
        <v>63</v>
      </c>
      <c r="M786" s="5" t="s">
        <v>1529</v>
      </c>
      <c r="N786" s="5" t="s">
        <v>1111</v>
      </c>
      <c r="O786" s="5" t="s">
        <v>555</v>
      </c>
      <c r="P786" s="5" t="s">
        <v>94</v>
      </c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>
        <v>17200</v>
      </c>
      <c r="AB786" s="5">
        <v>5000</v>
      </c>
      <c r="AC786" s="6">
        <v>44063</v>
      </c>
      <c r="AD786" s="5" t="s">
        <v>42</v>
      </c>
      <c r="AE786" s="5" t="s">
        <v>4216</v>
      </c>
      <c r="AF786" s="5">
        <v>0</v>
      </c>
    </row>
    <row r="787" spans="1:32" ht="27.95" x14ac:dyDescent="0.3">
      <c r="A787" s="3">
        <v>781</v>
      </c>
      <c r="B787" s="3" t="str">
        <f>"201800034136"</f>
        <v>201800034136</v>
      </c>
      <c r="C787" s="3" t="str">
        <f>"9184"</f>
        <v>9184</v>
      </c>
      <c r="D787" s="3" t="s">
        <v>4217</v>
      </c>
      <c r="E787" s="3">
        <v>20231266993</v>
      </c>
      <c r="F787" s="3" t="s">
        <v>3287</v>
      </c>
      <c r="G787" s="3" t="s">
        <v>4218</v>
      </c>
      <c r="H787" s="3" t="s">
        <v>150</v>
      </c>
      <c r="I787" s="3" t="s">
        <v>2588</v>
      </c>
      <c r="J787" s="3" t="s">
        <v>2588</v>
      </c>
      <c r="K787" s="3" t="s">
        <v>37</v>
      </c>
      <c r="L787" s="3" t="s">
        <v>4219</v>
      </c>
      <c r="M787" s="3" t="s">
        <v>2223</v>
      </c>
      <c r="N787" s="3" t="s">
        <v>642</v>
      </c>
      <c r="O787" s="3" t="s">
        <v>4220</v>
      </c>
      <c r="P787" s="3" t="s">
        <v>2611</v>
      </c>
      <c r="Q787" s="3" t="s">
        <v>4221</v>
      </c>
      <c r="R787" s="3" t="s">
        <v>94</v>
      </c>
      <c r="S787" s="3"/>
      <c r="T787" s="3"/>
      <c r="U787" s="3"/>
      <c r="V787" s="3"/>
      <c r="W787" s="3"/>
      <c r="X787" s="3"/>
      <c r="Y787" s="3"/>
      <c r="Z787" s="3"/>
      <c r="AA787" s="3">
        <v>34900</v>
      </c>
      <c r="AB787" s="3">
        <v>5000</v>
      </c>
      <c r="AC787" s="4">
        <v>43165</v>
      </c>
      <c r="AD787" s="3" t="s">
        <v>42</v>
      </c>
      <c r="AE787" s="3" t="s">
        <v>3798</v>
      </c>
      <c r="AF787" s="3">
        <v>0</v>
      </c>
    </row>
    <row r="788" spans="1:32" ht="27.95" x14ac:dyDescent="0.3">
      <c r="A788" s="5">
        <v>782</v>
      </c>
      <c r="B788" s="5" t="str">
        <f>"201800199064"</f>
        <v>201800199064</v>
      </c>
      <c r="C788" s="5" t="str">
        <f>"140070"</f>
        <v>140070</v>
      </c>
      <c r="D788" s="5" t="s">
        <v>4222</v>
      </c>
      <c r="E788" s="5">
        <v>20602269745</v>
      </c>
      <c r="F788" s="5" t="s">
        <v>4223</v>
      </c>
      <c r="G788" s="5" t="s">
        <v>4224</v>
      </c>
      <c r="H788" s="5" t="s">
        <v>36</v>
      </c>
      <c r="I788" s="5" t="s">
        <v>409</v>
      </c>
      <c r="J788" s="5" t="s">
        <v>409</v>
      </c>
      <c r="K788" s="5" t="s">
        <v>37</v>
      </c>
      <c r="L788" s="5" t="s">
        <v>4225</v>
      </c>
      <c r="M788" s="5" t="s">
        <v>2079</v>
      </c>
      <c r="N788" s="5" t="s">
        <v>103</v>
      </c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>
        <v>17000</v>
      </c>
      <c r="AB788" s="5">
        <v>2500</v>
      </c>
      <c r="AC788" s="6">
        <v>43445</v>
      </c>
      <c r="AD788" s="5" t="s">
        <v>42</v>
      </c>
      <c r="AE788" s="5" t="s">
        <v>4226</v>
      </c>
      <c r="AF788" s="5">
        <v>0</v>
      </c>
    </row>
    <row r="789" spans="1:32" ht="41.95" x14ac:dyDescent="0.3">
      <c r="A789" s="3">
        <v>783</v>
      </c>
      <c r="B789" s="3" t="str">
        <f>"201800035405"</f>
        <v>201800035405</v>
      </c>
      <c r="C789" s="3" t="str">
        <f>"118113"</f>
        <v>118113</v>
      </c>
      <c r="D789" s="3" t="s">
        <v>4227</v>
      </c>
      <c r="E789" s="3">
        <v>20517767396</v>
      </c>
      <c r="F789" s="3" t="s">
        <v>4228</v>
      </c>
      <c r="G789" s="3" t="s">
        <v>4229</v>
      </c>
      <c r="H789" s="3" t="s">
        <v>58</v>
      </c>
      <c r="I789" s="3" t="s">
        <v>1108</v>
      </c>
      <c r="J789" s="3" t="s">
        <v>1850</v>
      </c>
      <c r="K789" s="3" t="s">
        <v>37</v>
      </c>
      <c r="L789" s="3" t="s">
        <v>4230</v>
      </c>
      <c r="M789" s="3" t="s">
        <v>103</v>
      </c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>
        <v>8000</v>
      </c>
      <c r="AB789" s="3">
        <v>2500</v>
      </c>
      <c r="AC789" s="4">
        <v>43164</v>
      </c>
      <c r="AD789" s="3" t="s">
        <v>42</v>
      </c>
      <c r="AE789" s="3" t="s">
        <v>4231</v>
      </c>
      <c r="AF789" s="3">
        <v>0</v>
      </c>
    </row>
    <row r="790" spans="1:32" ht="27.95" x14ac:dyDescent="0.3">
      <c r="A790" s="5">
        <v>784</v>
      </c>
      <c r="B790" s="5" t="str">
        <f>"202000137098"</f>
        <v>202000137098</v>
      </c>
      <c r="C790" s="5" t="str">
        <f>"63285"</f>
        <v>63285</v>
      </c>
      <c r="D790" s="5" t="s">
        <v>4232</v>
      </c>
      <c r="E790" s="5">
        <v>17193028730</v>
      </c>
      <c r="F790" s="5" t="s">
        <v>4233</v>
      </c>
      <c r="G790" s="5" t="s">
        <v>4234</v>
      </c>
      <c r="H790" s="5" t="s">
        <v>532</v>
      </c>
      <c r="I790" s="5" t="s">
        <v>714</v>
      </c>
      <c r="J790" s="5" t="s">
        <v>3113</v>
      </c>
      <c r="K790" s="5" t="s">
        <v>37</v>
      </c>
      <c r="L790" s="5" t="s">
        <v>4235</v>
      </c>
      <c r="M790" s="5" t="s">
        <v>4236</v>
      </c>
      <c r="N790" s="5" t="s">
        <v>4237</v>
      </c>
      <c r="O790" s="5" t="s">
        <v>4238</v>
      </c>
      <c r="P790" s="5" t="s">
        <v>94</v>
      </c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>
        <v>11353</v>
      </c>
      <c r="AB790" s="5">
        <v>5000</v>
      </c>
      <c r="AC790" s="6">
        <v>44118</v>
      </c>
      <c r="AD790" s="5" t="s">
        <v>42</v>
      </c>
      <c r="AE790" s="5" t="s">
        <v>4233</v>
      </c>
      <c r="AF790" s="5">
        <v>0</v>
      </c>
    </row>
    <row r="791" spans="1:32" ht="27.95" x14ac:dyDescent="0.3">
      <c r="A791" s="3">
        <v>785</v>
      </c>
      <c r="B791" s="3" t="str">
        <f>"201900182562"</f>
        <v>201900182562</v>
      </c>
      <c r="C791" s="3" t="str">
        <f>"143159"</f>
        <v>143159</v>
      </c>
      <c r="D791" s="3" t="s">
        <v>4239</v>
      </c>
      <c r="E791" s="3">
        <v>20450700771</v>
      </c>
      <c r="F791" s="3" t="s">
        <v>4240</v>
      </c>
      <c r="G791" s="3" t="s">
        <v>4241</v>
      </c>
      <c r="H791" s="3" t="s">
        <v>47</v>
      </c>
      <c r="I791" s="3" t="s">
        <v>1038</v>
      </c>
      <c r="J791" s="3" t="s">
        <v>4242</v>
      </c>
      <c r="K791" s="3" t="s">
        <v>37</v>
      </c>
      <c r="L791" s="3" t="s">
        <v>166</v>
      </c>
      <c r="M791" s="3" t="s">
        <v>166</v>
      </c>
      <c r="N791" s="3" t="s">
        <v>166</v>
      </c>
      <c r="O791" s="3" t="s">
        <v>724</v>
      </c>
      <c r="P791" s="3" t="s">
        <v>154</v>
      </c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>
        <v>40000</v>
      </c>
      <c r="AB791" s="3">
        <v>6000</v>
      </c>
      <c r="AC791" s="4">
        <v>43774</v>
      </c>
      <c r="AD791" s="3" t="s">
        <v>42</v>
      </c>
      <c r="AE791" s="3" t="s">
        <v>4243</v>
      </c>
      <c r="AF791" s="3">
        <v>0</v>
      </c>
    </row>
    <row r="792" spans="1:32" ht="27.95" x14ac:dyDescent="0.3">
      <c r="A792" s="5">
        <v>786</v>
      </c>
      <c r="B792" s="5" t="str">
        <f>"201700195175"</f>
        <v>201700195175</v>
      </c>
      <c r="C792" s="5" t="str">
        <f>"8746"</f>
        <v>8746</v>
      </c>
      <c r="D792" s="5" t="s">
        <v>4244</v>
      </c>
      <c r="E792" s="5">
        <v>20503840121</v>
      </c>
      <c r="F792" s="5" t="s">
        <v>393</v>
      </c>
      <c r="G792" s="5" t="s">
        <v>4245</v>
      </c>
      <c r="H792" s="5" t="s">
        <v>219</v>
      </c>
      <c r="I792" s="5" t="s">
        <v>220</v>
      </c>
      <c r="J792" s="5" t="s">
        <v>220</v>
      </c>
      <c r="K792" s="5" t="s">
        <v>37</v>
      </c>
      <c r="L792" s="5" t="s">
        <v>4246</v>
      </c>
      <c r="M792" s="5" t="s">
        <v>4247</v>
      </c>
      <c r="N792" s="5" t="s">
        <v>1001</v>
      </c>
      <c r="O792" s="5" t="s">
        <v>4248</v>
      </c>
      <c r="P792" s="5" t="s">
        <v>173</v>
      </c>
      <c r="Q792" s="5" t="s">
        <v>4249</v>
      </c>
      <c r="R792" s="5" t="s">
        <v>52</v>
      </c>
      <c r="S792" s="5" t="s">
        <v>3324</v>
      </c>
      <c r="T792" s="5"/>
      <c r="U792" s="5"/>
      <c r="V792" s="5"/>
      <c r="W792" s="5"/>
      <c r="X792" s="5"/>
      <c r="Y792" s="5"/>
      <c r="Z792" s="5"/>
      <c r="AA792" s="5">
        <v>32000</v>
      </c>
      <c r="AB792" s="5">
        <v>4180</v>
      </c>
      <c r="AC792" s="6">
        <v>43065</v>
      </c>
      <c r="AD792" s="5" t="s">
        <v>42</v>
      </c>
      <c r="AE792" s="5" t="s">
        <v>399</v>
      </c>
      <c r="AF792" s="5">
        <v>0</v>
      </c>
    </row>
    <row r="793" spans="1:32" ht="27.95" x14ac:dyDescent="0.3">
      <c r="A793" s="3">
        <v>787</v>
      </c>
      <c r="B793" s="3" t="str">
        <f>"201700174791"</f>
        <v>201700174791</v>
      </c>
      <c r="C793" s="3" t="str">
        <f>"132211"</f>
        <v>132211</v>
      </c>
      <c r="D793" s="3" t="s">
        <v>4250</v>
      </c>
      <c r="E793" s="3">
        <v>20325753821</v>
      </c>
      <c r="F793" s="3" t="s">
        <v>4251</v>
      </c>
      <c r="G793" s="3" t="s">
        <v>4252</v>
      </c>
      <c r="H793" s="3" t="s">
        <v>58</v>
      </c>
      <c r="I793" s="3" t="s">
        <v>58</v>
      </c>
      <c r="J793" s="3" t="s">
        <v>2826</v>
      </c>
      <c r="K793" s="3" t="s">
        <v>37</v>
      </c>
      <c r="L793" s="3" t="s">
        <v>166</v>
      </c>
      <c r="M793" s="3" t="s">
        <v>166</v>
      </c>
      <c r="N793" s="3" t="s">
        <v>51</v>
      </c>
      <c r="O793" s="3" t="s">
        <v>50</v>
      </c>
      <c r="P793" s="3" t="s">
        <v>743</v>
      </c>
      <c r="Q793" s="3" t="s">
        <v>103</v>
      </c>
      <c r="R793" s="3"/>
      <c r="S793" s="3"/>
      <c r="T793" s="3"/>
      <c r="U793" s="3"/>
      <c r="V793" s="3"/>
      <c r="W793" s="3"/>
      <c r="X793" s="3"/>
      <c r="Y793" s="3"/>
      <c r="Z793" s="3"/>
      <c r="AA793" s="3">
        <v>35000</v>
      </c>
      <c r="AB793" s="3">
        <v>2500</v>
      </c>
      <c r="AC793" s="4">
        <v>43028</v>
      </c>
      <c r="AD793" s="3" t="s">
        <v>42</v>
      </c>
      <c r="AE793" s="3" t="s">
        <v>4253</v>
      </c>
      <c r="AF793" s="3">
        <v>720</v>
      </c>
    </row>
    <row r="794" spans="1:32" ht="41.95" x14ac:dyDescent="0.3">
      <c r="A794" s="5">
        <v>788</v>
      </c>
      <c r="B794" s="5" t="str">
        <f>"201900049982"</f>
        <v>201900049982</v>
      </c>
      <c r="C794" s="5" t="str">
        <f>"133620"</f>
        <v>133620</v>
      </c>
      <c r="D794" s="5" t="s">
        <v>4254</v>
      </c>
      <c r="E794" s="5">
        <v>20127765279</v>
      </c>
      <c r="F794" s="5" t="s">
        <v>1115</v>
      </c>
      <c r="G794" s="5" t="s">
        <v>4255</v>
      </c>
      <c r="H794" s="5" t="s">
        <v>219</v>
      </c>
      <c r="I794" s="5" t="s">
        <v>220</v>
      </c>
      <c r="J794" s="5" t="s">
        <v>908</v>
      </c>
      <c r="K794" s="5" t="s">
        <v>37</v>
      </c>
      <c r="L794" s="5" t="s">
        <v>459</v>
      </c>
      <c r="M794" s="5" t="s">
        <v>459</v>
      </c>
      <c r="N794" s="5" t="s">
        <v>1007</v>
      </c>
      <c r="O794" s="5" t="s">
        <v>76</v>
      </c>
      <c r="P794" s="5" t="s">
        <v>319</v>
      </c>
      <c r="Q794" s="5" t="s">
        <v>94</v>
      </c>
      <c r="R794" s="5"/>
      <c r="S794" s="5"/>
      <c r="T794" s="5"/>
      <c r="U794" s="5"/>
      <c r="V794" s="5"/>
      <c r="W794" s="5"/>
      <c r="X794" s="5"/>
      <c r="Y794" s="5"/>
      <c r="Z794" s="5"/>
      <c r="AA794" s="5">
        <v>12000</v>
      </c>
      <c r="AB794" s="5">
        <v>5000</v>
      </c>
      <c r="AC794" s="6">
        <v>43558</v>
      </c>
      <c r="AD794" s="5" t="s">
        <v>42</v>
      </c>
      <c r="AE794" s="5" t="s">
        <v>279</v>
      </c>
      <c r="AF794" s="5">
        <v>0</v>
      </c>
    </row>
    <row r="795" spans="1:32" ht="41.95" x14ac:dyDescent="0.3">
      <c r="A795" s="3">
        <v>789</v>
      </c>
      <c r="B795" s="3" t="str">
        <f>"201900177819"</f>
        <v>201900177819</v>
      </c>
      <c r="C795" s="3" t="str">
        <f>"84582"</f>
        <v>84582</v>
      </c>
      <c r="D795" s="3" t="s">
        <v>4256</v>
      </c>
      <c r="E795" s="3">
        <v>20600482492</v>
      </c>
      <c r="F795" s="3" t="s">
        <v>4257</v>
      </c>
      <c r="G795" s="3" t="s">
        <v>4258</v>
      </c>
      <c r="H795" s="3" t="s">
        <v>58</v>
      </c>
      <c r="I795" s="3" t="s">
        <v>373</v>
      </c>
      <c r="J795" s="3" t="s">
        <v>3994</v>
      </c>
      <c r="K795" s="3" t="s">
        <v>37</v>
      </c>
      <c r="L795" s="3" t="s">
        <v>4259</v>
      </c>
      <c r="M795" s="3" t="s">
        <v>1650</v>
      </c>
      <c r="N795" s="3" t="s">
        <v>4260</v>
      </c>
      <c r="O795" s="3" t="s">
        <v>2118</v>
      </c>
      <c r="P795" s="3" t="s">
        <v>63</v>
      </c>
      <c r="Q795" s="3" t="s">
        <v>78</v>
      </c>
      <c r="R795" s="3"/>
      <c r="S795" s="3"/>
      <c r="T795" s="3"/>
      <c r="U795" s="3"/>
      <c r="V795" s="3"/>
      <c r="W795" s="3"/>
      <c r="X795" s="3"/>
      <c r="Y795" s="3"/>
      <c r="Z795" s="3"/>
      <c r="AA795" s="3">
        <v>32900</v>
      </c>
      <c r="AB795" s="3">
        <v>3200</v>
      </c>
      <c r="AC795" s="4">
        <v>43770</v>
      </c>
      <c r="AD795" s="3" t="s">
        <v>42</v>
      </c>
      <c r="AE795" s="3" t="s">
        <v>4261</v>
      </c>
      <c r="AF795" s="3">
        <v>720</v>
      </c>
    </row>
    <row r="796" spans="1:32" ht="27.95" x14ac:dyDescent="0.3">
      <c r="A796" s="5">
        <v>790</v>
      </c>
      <c r="B796" s="5" t="str">
        <f>"202000080613"</f>
        <v>202000080613</v>
      </c>
      <c r="C796" s="5" t="str">
        <f>"84568"</f>
        <v>84568</v>
      </c>
      <c r="D796" s="5" t="s">
        <v>4262</v>
      </c>
      <c r="E796" s="5">
        <v>20605965327</v>
      </c>
      <c r="F796" s="5" t="s">
        <v>4263</v>
      </c>
      <c r="G796" s="5" t="s">
        <v>4264</v>
      </c>
      <c r="H796" s="5" t="s">
        <v>999</v>
      </c>
      <c r="I796" s="5" t="s">
        <v>999</v>
      </c>
      <c r="J796" s="5" t="s">
        <v>1000</v>
      </c>
      <c r="K796" s="5" t="s">
        <v>37</v>
      </c>
      <c r="L796" s="5" t="s">
        <v>4265</v>
      </c>
      <c r="M796" s="5" t="s">
        <v>4266</v>
      </c>
      <c r="N796" s="5" t="s">
        <v>4267</v>
      </c>
      <c r="O796" s="5" t="s">
        <v>72</v>
      </c>
      <c r="P796" s="5" t="s">
        <v>248</v>
      </c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>
        <v>14850</v>
      </c>
      <c r="AB796" s="5">
        <v>3000</v>
      </c>
      <c r="AC796" s="6">
        <v>44032</v>
      </c>
      <c r="AD796" s="5" t="s">
        <v>42</v>
      </c>
      <c r="AE796" s="5" t="s">
        <v>4268</v>
      </c>
      <c r="AF796" s="5">
        <v>720</v>
      </c>
    </row>
    <row r="797" spans="1:32" x14ac:dyDescent="0.3">
      <c r="A797" s="3">
        <v>791</v>
      </c>
      <c r="B797" s="3" t="str">
        <f>"202000136249"</f>
        <v>202000136249</v>
      </c>
      <c r="C797" s="3" t="str">
        <f>"18303"</f>
        <v>18303</v>
      </c>
      <c r="D797" s="3" t="s">
        <v>4269</v>
      </c>
      <c r="E797" s="3">
        <v>20603111371</v>
      </c>
      <c r="F797" s="3" t="s">
        <v>879</v>
      </c>
      <c r="G797" s="3" t="s">
        <v>4270</v>
      </c>
      <c r="H797" s="3" t="s">
        <v>656</v>
      </c>
      <c r="I797" s="3" t="s">
        <v>656</v>
      </c>
      <c r="J797" s="3" t="s">
        <v>656</v>
      </c>
      <c r="K797" s="3" t="s">
        <v>37</v>
      </c>
      <c r="L797" s="3" t="s">
        <v>2579</v>
      </c>
      <c r="M797" s="3" t="s">
        <v>1220</v>
      </c>
      <c r="N797" s="3" t="s">
        <v>2621</v>
      </c>
      <c r="O797" s="3" t="s">
        <v>1331</v>
      </c>
      <c r="P797" s="3" t="s">
        <v>110</v>
      </c>
      <c r="Q797" s="3" t="s">
        <v>248</v>
      </c>
      <c r="R797" s="3"/>
      <c r="S797" s="3"/>
      <c r="T797" s="3"/>
      <c r="U797" s="3"/>
      <c r="V797" s="3"/>
      <c r="W797" s="3"/>
      <c r="X797" s="3"/>
      <c r="Y797" s="3"/>
      <c r="Z797" s="3"/>
      <c r="AA797" s="3">
        <v>23300</v>
      </c>
      <c r="AB797" s="3">
        <v>3000</v>
      </c>
      <c r="AC797" s="4">
        <v>44110</v>
      </c>
      <c r="AD797" s="3" t="s">
        <v>42</v>
      </c>
      <c r="AE797" s="3" t="s">
        <v>4271</v>
      </c>
      <c r="AF797" s="3">
        <v>0</v>
      </c>
    </row>
    <row r="798" spans="1:32" ht="27.95" x14ac:dyDescent="0.3">
      <c r="A798" s="5">
        <v>792</v>
      </c>
      <c r="B798" s="5" t="str">
        <f>"202000084368"</f>
        <v>202000084368</v>
      </c>
      <c r="C798" s="5" t="str">
        <f>"16671"</f>
        <v>16671</v>
      </c>
      <c r="D798" s="5" t="s">
        <v>4272</v>
      </c>
      <c r="E798" s="5">
        <v>20522958078</v>
      </c>
      <c r="F798" s="5" t="s">
        <v>4273</v>
      </c>
      <c r="G798" s="5" t="s">
        <v>4274</v>
      </c>
      <c r="H798" s="5" t="s">
        <v>58</v>
      </c>
      <c r="I798" s="5" t="s">
        <v>58</v>
      </c>
      <c r="J798" s="5" t="s">
        <v>58</v>
      </c>
      <c r="K798" s="5" t="s">
        <v>37</v>
      </c>
      <c r="L798" s="5" t="s">
        <v>4275</v>
      </c>
      <c r="M798" s="5" t="s">
        <v>4276</v>
      </c>
      <c r="N798" s="5" t="s">
        <v>1255</v>
      </c>
      <c r="O798" s="5" t="s">
        <v>381</v>
      </c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>
        <v>24000</v>
      </c>
      <c r="AB798" s="5">
        <v>2000</v>
      </c>
      <c r="AC798" s="6">
        <v>44036</v>
      </c>
      <c r="AD798" s="5" t="s">
        <v>42</v>
      </c>
      <c r="AE798" s="5" t="s">
        <v>4277</v>
      </c>
      <c r="AF798" s="5">
        <v>0</v>
      </c>
    </row>
    <row r="799" spans="1:32" x14ac:dyDescent="0.3">
      <c r="A799" s="3">
        <v>793</v>
      </c>
      <c r="B799" s="3" t="str">
        <f>"201700185660"</f>
        <v>201700185660</v>
      </c>
      <c r="C799" s="3" t="str">
        <f>"9103"</f>
        <v>9103</v>
      </c>
      <c r="D799" s="3" t="s">
        <v>4278</v>
      </c>
      <c r="E799" s="3">
        <v>20207153088</v>
      </c>
      <c r="F799" s="3" t="s">
        <v>4279</v>
      </c>
      <c r="G799" s="3" t="s">
        <v>4280</v>
      </c>
      <c r="H799" s="3" t="s">
        <v>58</v>
      </c>
      <c r="I799" s="3" t="s">
        <v>498</v>
      </c>
      <c r="J799" s="3" t="s">
        <v>498</v>
      </c>
      <c r="K799" s="3" t="s">
        <v>37</v>
      </c>
      <c r="L799" s="3" t="s">
        <v>4281</v>
      </c>
      <c r="M799" s="3" t="s">
        <v>262</v>
      </c>
      <c r="N799" s="3" t="s">
        <v>161</v>
      </c>
      <c r="O799" s="3" t="s">
        <v>555</v>
      </c>
      <c r="P799" s="3" t="s">
        <v>1111</v>
      </c>
      <c r="Q799" s="3" t="s">
        <v>247</v>
      </c>
      <c r="R799" s="3" t="s">
        <v>248</v>
      </c>
      <c r="S799" s="3"/>
      <c r="T799" s="3"/>
      <c r="U799" s="3"/>
      <c r="V799" s="3"/>
      <c r="W799" s="3"/>
      <c r="X799" s="3"/>
      <c r="Y799" s="3"/>
      <c r="Z799" s="3"/>
      <c r="AA799" s="3">
        <v>29200</v>
      </c>
      <c r="AB799" s="3">
        <v>3000</v>
      </c>
      <c r="AC799" s="4">
        <v>43046</v>
      </c>
      <c r="AD799" s="3" t="s">
        <v>42</v>
      </c>
      <c r="AE799" s="3" t="s">
        <v>4282</v>
      </c>
      <c r="AF799" s="3">
        <v>240</v>
      </c>
    </row>
    <row r="800" spans="1:32" ht="27.95" x14ac:dyDescent="0.3">
      <c r="A800" s="5">
        <v>794</v>
      </c>
      <c r="B800" s="5" t="str">
        <f>"202000056268"</f>
        <v>202000056268</v>
      </c>
      <c r="C800" s="5" t="str">
        <f>"138296"</f>
        <v>138296</v>
      </c>
      <c r="D800" s="5" t="s">
        <v>4283</v>
      </c>
      <c r="E800" s="5">
        <v>20542904896</v>
      </c>
      <c r="F800" s="5" t="s">
        <v>4284</v>
      </c>
      <c r="G800" s="5" t="s">
        <v>4285</v>
      </c>
      <c r="H800" s="5" t="s">
        <v>999</v>
      </c>
      <c r="I800" s="5" t="s">
        <v>999</v>
      </c>
      <c r="J800" s="5" t="s">
        <v>999</v>
      </c>
      <c r="K800" s="5" t="s">
        <v>37</v>
      </c>
      <c r="L800" s="5" t="s">
        <v>166</v>
      </c>
      <c r="M800" s="5" t="s">
        <v>4286</v>
      </c>
      <c r="N800" s="5" t="s">
        <v>154</v>
      </c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>
        <v>20000</v>
      </c>
      <c r="AB800" s="5">
        <v>6000</v>
      </c>
      <c r="AC800" s="6">
        <v>43966</v>
      </c>
      <c r="AD800" s="5" t="s">
        <v>42</v>
      </c>
      <c r="AE800" s="5" t="s">
        <v>4287</v>
      </c>
      <c r="AF800" s="5">
        <v>0</v>
      </c>
    </row>
    <row r="801" spans="1:32" ht="27.95" x14ac:dyDescent="0.3">
      <c r="A801" s="3">
        <v>795</v>
      </c>
      <c r="B801" s="3" t="str">
        <f>"201900210978"</f>
        <v>201900210978</v>
      </c>
      <c r="C801" s="3" t="str">
        <f>"18704"</f>
        <v>18704</v>
      </c>
      <c r="D801" s="3" t="s">
        <v>4288</v>
      </c>
      <c r="E801" s="3">
        <v>20417752979</v>
      </c>
      <c r="F801" s="3" t="s">
        <v>4289</v>
      </c>
      <c r="G801" s="3" t="s">
        <v>4290</v>
      </c>
      <c r="H801" s="3" t="s">
        <v>58</v>
      </c>
      <c r="I801" s="3" t="s">
        <v>58</v>
      </c>
      <c r="J801" s="3" t="s">
        <v>545</v>
      </c>
      <c r="K801" s="3" t="s">
        <v>37</v>
      </c>
      <c r="L801" s="3" t="s">
        <v>63</v>
      </c>
      <c r="M801" s="3" t="s">
        <v>50</v>
      </c>
      <c r="N801" s="3" t="s">
        <v>174</v>
      </c>
      <c r="O801" s="3" t="s">
        <v>398</v>
      </c>
      <c r="P801" s="3" t="s">
        <v>103</v>
      </c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>
        <v>18000</v>
      </c>
      <c r="AB801" s="3">
        <v>2500</v>
      </c>
      <c r="AC801" s="4">
        <v>43841</v>
      </c>
      <c r="AD801" s="3" t="s">
        <v>42</v>
      </c>
      <c r="AE801" s="3" t="s">
        <v>4291</v>
      </c>
      <c r="AF801" s="3">
        <v>480</v>
      </c>
    </row>
    <row r="802" spans="1:32" x14ac:dyDescent="0.3">
      <c r="A802" s="5">
        <v>796</v>
      </c>
      <c r="B802" s="5" t="str">
        <f>"201600065868"</f>
        <v>201600065868</v>
      </c>
      <c r="C802" s="5" t="str">
        <f>"17913"</f>
        <v>17913</v>
      </c>
      <c r="D802" s="5" t="s">
        <v>4292</v>
      </c>
      <c r="E802" s="5">
        <v>20472845030</v>
      </c>
      <c r="F802" s="5" t="s">
        <v>4293</v>
      </c>
      <c r="G802" s="5" t="s">
        <v>4294</v>
      </c>
      <c r="H802" s="5" t="s">
        <v>108</v>
      </c>
      <c r="I802" s="5" t="s">
        <v>647</v>
      </c>
      <c r="J802" s="5" t="s">
        <v>846</v>
      </c>
      <c r="K802" s="5" t="s">
        <v>37</v>
      </c>
      <c r="L802" s="5" t="s">
        <v>263</v>
      </c>
      <c r="M802" s="5" t="s">
        <v>161</v>
      </c>
      <c r="N802" s="5" t="s">
        <v>63</v>
      </c>
      <c r="O802" s="5" t="s">
        <v>1111</v>
      </c>
      <c r="P802" s="5" t="s">
        <v>63</v>
      </c>
      <c r="Q802" s="5" t="s">
        <v>161</v>
      </c>
      <c r="R802" s="5" t="s">
        <v>63</v>
      </c>
      <c r="S802" s="5" t="s">
        <v>1367</v>
      </c>
      <c r="T802" s="5" t="s">
        <v>94</v>
      </c>
      <c r="U802" s="5"/>
      <c r="V802" s="5"/>
      <c r="W802" s="5"/>
      <c r="X802" s="5"/>
      <c r="Y802" s="5"/>
      <c r="Z802" s="5"/>
      <c r="AA802" s="5">
        <v>42000</v>
      </c>
      <c r="AB802" s="5">
        <v>5000</v>
      </c>
      <c r="AC802" s="6">
        <v>42496</v>
      </c>
      <c r="AD802" s="5" t="s">
        <v>42</v>
      </c>
      <c r="AE802" s="5" t="s">
        <v>4295</v>
      </c>
      <c r="AF802" s="5">
        <v>0</v>
      </c>
    </row>
    <row r="803" spans="1:32" ht="27.95" x14ac:dyDescent="0.3">
      <c r="A803" s="3">
        <v>797</v>
      </c>
      <c r="B803" s="3" t="str">
        <f>"201700053791"</f>
        <v>201700053791</v>
      </c>
      <c r="C803" s="3" t="str">
        <f>"127846"</f>
        <v>127846</v>
      </c>
      <c r="D803" s="3" t="s">
        <v>4296</v>
      </c>
      <c r="E803" s="3">
        <v>10278514876</v>
      </c>
      <c r="F803" s="3" t="s">
        <v>4297</v>
      </c>
      <c r="G803" s="3" t="s">
        <v>4298</v>
      </c>
      <c r="H803" s="3" t="s">
        <v>134</v>
      </c>
      <c r="I803" s="3" t="s">
        <v>4299</v>
      </c>
      <c r="J803" s="3" t="s">
        <v>4299</v>
      </c>
      <c r="K803" s="3" t="s">
        <v>37</v>
      </c>
      <c r="L803" s="3" t="s">
        <v>72</v>
      </c>
      <c r="M803" s="3" t="s">
        <v>49</v>
      </c>
      <c r="N803" s="3" t="s">
        <v>174</v>
      </c>
      <c r="O803" s="3" t="s">
        <v>555</v>
      </c>
      <c r="P803" s="3" t="s">
        <v>94</v>
      </c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>
        <v>20000</v>
      </c>
      <c r="AB803" s="3">
        <v>5000</v>
      </c>
      <c r="AC803" s="4">
        <v>42849</v>
      </c>
      <c r="AD803" s="3" t="s">
        <v>42</v>
      </c>
      <c r="AE803" s="3" t="s">
        <v>4297</v>
      </c>
      <c r="AF803" s="3">
        <v>0</v>
      </c>
    </row>
    <row r="804" spans="1:32" x14ac:dyDescent="0.3">
      <c r="A804" s="5">
        <v>798</v>
      </c>
      <c r="B804" s="5" t="str">
        <f>"201700011280"</f>
        <v>201700011280</v>
      </c>
      <c r="C804" s="5" t="str">
        <f>"9357"</f>
        <v>9357</v>
      </c>
      <c r="D804" s="5" t="s">
        <v>4300</v>
      </c>
      <c r="E804" s="5">
        <v>20479901067</v>
      </c>
      <c r="F804" s="5" t="s">
        <v>4301</v>
      </c>
      <c r="G804" s="5" t="s">
        <v>4302</v>
      </c>
      <c r="H804" s="5" t="s">
        <v>36</v>
      </c>
      <c r="I804" s="5" t="s">
        <v>36</v>
      </c>
      <c r="J804" s="5" t="s">
        <v>36</v>
      </c>
      <c r="K804" s="5" t="s">
        <v>37</v>
      </c>
      <c r="L804" s="5" t="s">
        <v>4303</v>
      </c>
      <c r="M804" s="5" t="s">
        <v>2265</v>
      </c>
      <c r="N804" s="5" t="s">
        <v>4304</v>
      </c>
      <c r="O804" s="5" t="s">
        <v>52</v>
      </c>
      <c r="P804" s="5" t="s">
        <v>248</v>
      </c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>
        <v>35000</v>
      </c>
      <c r="AB804" s="5">
        <v>3000</v>
      </c>
      <c r="AC804" s="6">
        <v>42759</v>
      </c>
      <c r="AD804" s="5" t="s">
        <v>42</v>
      </c>
      <c r="AE804" s="5" t="s">
        <v>4037</v>
      </c>
      <c r="AF804" s="5">
        <v>0</v>
      </c>
    </row>
    <row r="805" spans="1:32" ht="41.95" x14ac:dyDescent="0.3">
      <c r="A805" s="3">
        <v>799</v>
      </c>
      <c r="B805" s="3" t="str">
        <f>"202000103984"</f>
        <v>202000103984</v>
      </c>
      <c r="C805" s="3" t="str">
        <f>"107381"</f>
        <v>107381</v>
      </c>
      <c r="D805" s="3" t="s">
        <v>4305</v>
      </c>
      <c r="E805" s="3">
        <v>20604302863</v>
      </c>
      <c r="F805" s="3" t="s">
        <v>2662</v>
      </c>
      <c r="G805" s="3" t="s">
        <v>4306</v>
      </c>
      <c r="H805" s="3" t="s">
        <v>58</v>
      </c>
      <c r="I805" s="3" t="s">
        <v>58</v>
      </c>
      <c r="J805" s="3" t="s">
        <v>71</v>
      </c>
      <c r="K805" s="3" t="s">
        <v>37</v>
      </c>
      <c r="L805" s="3" t="s">
        <v>63</v>
      </c>
      <c r="M805" s="3" t="s">
        <v>4307</v>
      </c>
      <c r="N805" s="3" t="s">
        <v>78</v>
      </c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>
        <v>12000</v>
      </c>
      <c r="AB805" s="3">
        <v>3200</v>
      </c>
      <c r="AC805" s="4">
        <v>44067</v>
      </c>
      <c r="AD805" s="3" t="s">
        <v>42</v>
      </c>
      <c r="AE805" s="3" t="s">
        <v>1061</v>
      </c>
      <c r="AF805" s="3">
        <v>0</v>
      </c>
    </row>
    <row r="806" spans="1:32" ht="27.95" x14ac:dyDescent="0.3">
      <c r="A806" s="5">
        <v>800</v>
      </c>
      <c r="B806" s="5" t="str">
        <f>"201900010845"</f>
        <v>201900010845</v>
      </c>
      <c r="C806" s="5" t="str">
        <f>"120799"</f>
        <v>120799</v>
      </c>
      <c r="D806" s="5" t="s">
        <v>4308</v>
      </c>
      <c r="E806" s="5">
        <v>20545112486</v>
      </c>
      <c r="F806" s="5" t="s">
        <v>4309</v>
      </c>
      <c r="G806" s="5" t="s">
        <v>4310</v>
      </c>
      <c r="H806" s="5" t="s">
        <v>47</v>
      </c>
      <c r="I806" s="5" t="s">
        <v>159</v>
      </c>
      <c r="J806" s="5" t="s">
        <v>1772</v>
      </c>
      <c r="K806" s="5" t="s">
        <v>37</v>
      </c>
      <c r="L806" s="5" t="s">
        <v>161</v>
      </c>
      <c r="M806" s="5" t="s">
        <v>4311</v>
      </c>
      <c r="N806" s="5" t="s">
        <v>78</v>
      </c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>
        <v>10500</v>
      </c>
      <c r="AB806" s="5">
        <v>3200</v>
      </c>
      <c r="AC806" s="6">
        <v>43488</v>
      </c>
      <c r="AD806" s="5" t="s">
        <v>42</v>
      </c>
      <c r="AE806" s="5" t="s">
        <v>4312</v>
      </c>
      <c r="AF806" s="5">
        <v>240</v>
      </c>
    </row>
    <row r="807" spans="1:32" ht="27.95" x14ac:dyDescent="0.3">
      <c r="A807" s="3">
        <v>801</v>
      </c>
      <c r="B807" s="3" t="str">
        <f>"201900037326"</f>
        <v>201900037326</v>
      </c>
      <c r="C807" s="3" t="str">
        <f>"141792"</f>
        <v>141792</v>
      </c>
      <c r="D807" s="3" t="s">
        <v>4313</v>
      </c>
      <c r="E807" s="3">
        <v>20559743225</v>
      </c>
      <c r="F807" s="3" t="s">
        <v>4314</v>
      </c>
      <c r="G807" s="3" t="s">
        <v>4315</v>
      </c>
      <c r="H807" s="3" t="s">
        <v>219</v>
      </c>
      <c r="I807" s="3" t="s">
        <v>220</v>
      </c>
      <c r="J807" s="3" t="s">
        <v>220</v>
      </c>
      <c r="K807" s="3" t="s">
        <v>37</v>
      </c>
      <c r="L807" s="3" t="s">
        <v>4316</v>
      </c>
      <c r="M807" s="3" t="s">
        <v>4316</v>
      </c>
      <c r="N807" s="3" t="s">
        <v>4317</v>
      </c>
      <c r="O807" s="3" t="s">
        <v>4318</v>
      </c>
      <c r="P807" s="3" t="s">
        <v>94</v>
      </c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>
        <v>29721</v>
      </c>
      <c r="AB807" s="3">
        <v>5000</v>
      </c>
      <c r="AC807" s="4">
        <v>43550</v>
      </c>
      <c r="AD807" s="3" t="s">
        <v>42</v>
      </c>
      <c r="AE807" s="3" t="s">
        <v>4319</v>
      </c>
      <c r="AF807" s="3">
        <v>0</v>
      </c>
    </row>
    <row r="808" spans="1:32" ht="27.95" x14ac:dyDescent="0.3">
      <c r="A808" s="5">
        <v>802</v>
      </c>
      <c r="B808" s="5" t="str">
        <f>"201700221043"</f>
        <v>201700221043</v>
      </c>
      <c r="C808" s="5" t="str">
        <f>"8535"</f>
        <v>8535</v>
      </c>
      <c r="D808" s="5" t="s">
        <v>4320</v>
      </c>
      <c r="E808" s="5">
        <v>20536053621</v>
      </c>
      <c r="F808" s="5" t="s">
        <v>1146</v>
      </c>
      <c r="G808" s="5" t="s">
        <v>4321</v>
      </c>
      <c r="H808" s="5" t="s">
        <v>219</v>
      </c>
      <c r="I808" s="5" t="s">
        <v>220</v>
      </c>
      <c r="J808" s="5" t="s">
        <v>220</v>
      </c>
      <c r="K808" s="5" t="s">
        <v>37</v>
      </c>
      <c r="L808" s="5" t="s">
        <v>4322</v>
      </c>
      <c r="M808" s="5" t="s">
        <v>555</v>
      </c>
      <c r="N808" s="5" t="s">
        <v>51</v>
      </c>
      <c r="O808" s="5" t="s">
        <v>66</v>
      </c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>
        <v>13000</v>
      </c>
      <c r="AB808" s="5">
        <v>4500</v>
      </c>
      <c r="AC808" s="6">
        <v>43104</v>
      </c>
      <c r="AD808" s="5" t="s">
        <v>42</v>
      </c>
      <c r="AE808" s="5" t="s">
        <v>3438</v>
      </c>
      <c r="AF808" s="5">
        <v>720</v>
      </c>
    </row>
    <row r="809" spans="1:32" x14ac:dyDescent="0.3">
      <c r="A809" s="3">
        <v>803</v>
      </c>
      <c r="B809" s="3" t="str">
        <f>"201900119044"</f>
        <v>201900119044</v>
      </c>
      <c r="C809" s="3" t="str">
        <f>"16793"</f>
        <v>16793</v>
      </c>
      <c r="D809" s="3" t="s">
        <v>4323</v>
      </c>
      <c r="E809" s="3">
        <v>20516511975</v>
      </c>
      <c r="F809" s="3" t="s">
        <v>4324</v>
      </c>
      <c r="G809" s="3" t="s">
        <v>4325</v>
      </c>
      <c r="H809" s="3" t="s">
        <v>89</v>
      </c>
      <c r="I809" s="3" t="s">
        <v>89</v>
      </c>
      <c r="J809" s="3" t="s">
        <v>89</v>
      </c>
      <c r="K809" s="3" t="s">
        <v>37</v>
      </c>
      <c r="L809" s="3" t="s">
        <v>557</v>
      </c>
      <c r="M809" s="3" t="s">
        <v>1238</v>
      </c>
      <c r="N809" s="3" t="s">
        <v>171</v>
      </c>
      <c r="O809" s="3" t="s">
        <v>555</v>
      </c>
      <c r="P809" s="3" t="s">
        <v>314</v>
      </c>
      <c r="Q809" s="3" t="s">
        <v>103</v>
      </c>
      <c r="R809" s="3"/>
      <c r="S809" s="3"/>
      <c r="T809" s="3"/>
      <c r="U809" s="3"/>
      <c r="V809" s="3"/>
      <c r="W809" s="3"/>
      <c r="X809" s="3"/>
      <c r="Y809" s="3"/>
      <c r="Z809" s="3"/>
      <c r="AA809" s="3">
        <v>23600</v>
      </c>
      <c r="AB809" s="3">
        <v>2500</v>
      </c>
      <c r="AC809" s="4">
        <v>43673</v>
      </c>
      <c r="AD809" s="3" t="s">
        <v>42</v>
      </c>
      <c r="AE809" s="3" t="s">
        <v>837</v>
      </c>
      <c r="AF809" s="3">
        <v>240</v>
      </c>
    </row>
    <row r="810" spans="1:32" ht="41.95" x14ac:dyDescent="0.3">
      <c r="A810" s="5">
        <v>804</v>
      </c>
      <c r="B810" s="5" t="str">
        <f>"201800000300"</f>
        <v>201800000300</v>
      </c>
      <c r="C810" s="5" t="str">
        <f>"64466"</f>
        <v>64466</v>
      </c>
      <c r="D810" s="5" t="s">
        <v>4326</v>
      </c>
      <c r="E810" s="5">
        <v>20602585272</v>
      </c>
      <c r="F810" s="5" t="s">
        <v>4327</v>
      </c>
      <c r="G810" s="5" t="s">
        <v>4328</v>
      </c>
      <c r="H810" s="5" t="s">
        <v>329</v>
      </c>
      <c r="I810" s="5" t="s">
        <v>329</v>
      </c>
      <c r="J810" s="5" t="s">
        <v>1546</v>
      </c>
      <c r="K810" s="5" t="s">
        <v>37</v>
      </c>
      <c r="L810" s="5" t="s">
        <v>4329</v>
      </c>
      <c r="M810" s="5" t="s">
        <v>4330</v>
      </c>
      <c r="N810" s="5" t="s">
        <v>4331</v>
      </c>
      <c r="O810" s="5" t="s">
        <v>1260</v>
      </c>
      <c r="P810" s="5" t="s">
        <v>571</v>
      </c>
      <c r="Q810" s="5" t="s">
        <v>54</v>
      </c>
      <c r="R810" s="5"/>
      <c r="S810" s="5"/>
      <c r="T810" s="5"/>
      <c r="U810" s="5"/>
      <c r="V810" s="5"/>
      <c r="W810" s="5"/>
      <c r="X810" s="5"/>
      <c r="Y810" s="5"/>
      <c r="Z810" s="5"/>
      <c r="AA810" s="5">
        <v>10380</v>
      </c>
      <c r="AB810" s="5">
        <v>4000</v>
      </c>
      <c r="AC810" s="6">
        <v>43105</v>
      </c>
      <c r="AD810" s="5" t="s">
        <v>42</v>
      </c>
      <c r="AE810" s="5" t="s">
        <v>4332</v>
      </c>
      <c r="AF810" s="5">
        <v>240</v>
      </c>
    </row>
    <row r="811" spans="1:32" ht="55.9" x14ac:dyDescent="0.3">
      <c r="A811" s="3">
        <v>805</v>
      </c>
      <c r="B811" s="3" t="str">
        <f>"202000136275"</f>
        <v>202000136275</v>
      </c>
      <c r="C811" s="3" t="str">
        <f>"151648"</f>
        <v>151648</v>
      </c>
      <c r="D811" s="3" t="s">
        <v>4333</v>
      </c>
      <c r="E811" s="3">
        <v>20453556086</v>
      </c>
      <c r="F811" s="3" t="s">
        <v>4334</v>
      </c>
      <c r="G811" s="3" t="s">
        <v>4335</v>
      </c>
      <c r="H811" s="3" t="s">
        <v>134</v>
      </c>
      <c r="I811" s="3" t="s">
        <v>134</v>
      </c>
      <c r="J811" s="3" t="s">
        <v>134</v>
      </c>
      <c r="K811" s="3" t="s">
        <v>37</v>
      </c>
      <c r="L811" s="3" t="s">
        <v>166</v>
      </c>
      <c r="M811" s="3" t="s">
        <v>4336</v>
      </c>
      <c r="N811" s="3" t="s">
        <v>4337</v>
      </c>
      <c r="O811" s="3" t="s">
        <v>78</v>
      </c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>
        <v>30000</v>
      </c>
      <c r="AB811" s="3">
        <v>3200</v>
      </c>
      <c r="AC811" s="4">
        <v>44119</v>
      </c>
      <c r="AD811" s="3" t="s">
        <v>42</v>
      </c>
      <c r="AE811" s="3" t="s">
        <v>4338</v>
      </c>
      <c r="AF811" s="3">
        <v>720</v>
      </c>
    </row>
    <row r="812" spans="1:32" ht="27.95" x14ac:dyDescent="0.3">
      <c r="A812" s="5">
        <v>806</v>
      </c>
      <c r="B812" s="5" t="str">
        <f>"201600157682"</f>
        <v>201600157682</v>
      </c>
      <c r="C812" s="5" t="str">
        <f>"8561"</f>
        <v>8561</v>
      </c>
      <c r="D812" s="5" t="s">
        <v>4339</v>
      </c>
      <c r="E812" s="5">
        <v>10164034459</v>
      </c>
      <c r="F812" s="5" t="s">
        <v>4340</v>
      </c>
      <c r="G812" s="5" t="s">
        <v>4341</v>
      </c>
      <c r="H812" s="5" t="s">
        <v>36</v>
      </c>
      <c r="I812" s="5" t="s">
        <v>196</v>
      </c>
      <c r="J812" s="5" t="s">
        <v>196</v>
      </c>
      <c r="K812" s="5" t="s">
        <v>37</v>
      </c>
      <c r="L812" s="5" t="s">
        <v>4342</v>
      </c>
      <c r="M812" s="5" t="s">
        <v>4343</v>
      </c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>
        <v>10472</v>
      </c>
      <c r="AB812" s="5">
        <v>4000</v>
      </c>
      <c r="AC812" s="6">
        <v>42682</v>
      </c>
      <c r="AD812" s="5" t="s">
        <v>42</v>
      </c>
      <c r="AE812" s="5" t="s">
        <v>4340</v>
      </c>
      <c r="AF812" s="5">
        <v>0</v>
      </c>
    </row>
    <row r="813" spans="1:32" ht="27.95" x14ac:dyDescent="0.3">
      <c r="A813" s="3">
        <v>807</v>
      </c>
      <c r="B813" s="3" t="str">
        <f>"202000143578"</f>
        <v>202000143578</v>
      </c>
      <c r="C813" s="3" t="str">
        <f>"130166"</f>
        <v>130166</v>
      </c>
      <c r="D813" s="3" t="s">
        <v>4344</v>
      </c>
      <c r="E813" s="3">
        <v>20606045973</v>
      </c>
      <c r="F813" s="3" t="s">
        <v>4345</v>
      </c>
      <c r="G813" s="3" t="s">
        <v>4346</v>
      </c>
      <c r="H813" s="3" t="s">
        <v>36</v>
      </c>
      <c r="I813" s="3" t="s">
        <v>36</v>
      </c>
      <c r="J813" s="3" t="s">
        <v>4347</v>
      </c>
      <c r="K813" s="3" t="s">
        <v>37</v>
      </c>
      <c r="L813" s="3" t="s">
        <v>127</v>
      </c>
      <c r="M813" s="3" t="s">
        <v>519</v>
      </c>
      <c r="N813" s="3" t="s">
        <v>1790</v>
      </c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>
        <v>9000</v>
      </c>
      <c r="AB813" s="3">
        <v>5800</v>
      </c>
      <c r="AC813" s="4">
        <v>44131</v>
      </c>
      <c r="AD813" s="3" t="s">
        <v>42</v>
      </c>
      <c r="AE813" s="3" t="s">
        <v>4348</v>
      </c>
      <c r="AF813" s="3">
        <v>0</v>
      </c>
    </row>
    <row r="814" spans="1:32" ht="41.95" x14ac:dyDescent="0.3">
      <c r="A814" s="5">
        <v>808</v>
      </c>
      <c r="B814" s="5" t="str">
        <f>"201500006871"</f>
        <v>201500006871</v>
      </c>
      <c r="C814" s="5" t="str">
        <f>"95385"</f>
        <v>95385</v>
      </c>
      <c r="D814" s="5" t="s">
        <v>4349</v>
      </c>
      <c r="E814" s="5">
        <v>20434834555</v>
      </c>
      <c r="F814" s="5" t="s">
        <v>4350</v>
      </c>
      <c r="G814" s="5" t="s">
        <v>4351</v>
      </c>
      <c r="H814" s="5" t="s">
        <v>89</v>
      </c>
      <c r="I814" s="5" t="s">
        <v>89</v>
      </c>
      <c r="J814" s="5" t="s">
        <v>309</v>
      </c>
      <c r="K814" s="5" t="s">
        <v>37</v>
      </c>
      <c r="L814" s="5" t="s">
        <v>4352</v>
      </c>
      <c r="M814" s="5" t="s">
        <v>4352</v>
      </c>
      <c r="N814" s="5" t="s">
        <v>4352</v>
      </c>
      <c r="O814" s="5" t="s">
        <v>4353</v>
      </c>
      <c r="P814" s="5" t="s">
        <v>4354</v>
      </c>
      <c r="Q814" s="5" t="s">
        <v>78</v>
      </c>
      <c r="R814" s="5"/>
      <c r="S814" s="5"/>
      <c r="T814" s="5"/>
      <c r="U814" s="5"/>
      <c r="V814" s="5"/>
      <c r="W814" s="5"/>
      <c r="X814" s="5"/>
      <c r="Y814" s="5"/>
      <c r="Z814" s="5"/>
      <c r="AA814" s="5">
        <v>23981</v>
      </c>
      <c r="AB814" s="5">
        <v>3200</v>
      </c>
      <c r="AC814" s="6">
        <v>42030</v>
      </c>
      <c r="AD814" s="5" t="s">
        <v>42</v>
      </c>
      <c r="AE814" s="5" t="s">
        <v>4355</v>
      </c>
      <c r="AF814" s="5">
        <v>0</v>
      </c>
    </row>
    <row r="815" spans="1:32" ht="41.95" x14ac:dyDescent="0.3">
      <c r="A815" s="3">
        <v>809</v>
      </c>
      <c r="B815" s="3" t="str">
        <f>"201700089749"</f>
        <v>201700089749</v>
      </c>
      <c r="C815" s="3" t="str">
        <f>"96000"</f>
        <v>96000</v>
      </c>
      <c r="D815" s="3" t="s">
        <v>4356</v>
      </c>
      <c r="E815" s="3">
        <v>10316004089</v>
      </c>
      <c r="F815" s="3" t="s">
        <v>1096</v>
      </c>
      <c r="G815" s="3" t="s">
        <v>4357</v>
      </c>
      <c r="H815" s="3" t="s">
        <v>116</v>
      </c>
      <c r="I815" s="3" t="s">
        <v>1168</v>
      </c>
      <c r="J815" s="3" t="s">
        <v>626</v>
      </c>
      <c r="K815" s="3" t="s">
        <v>37</v>
      </c>
      <c r="L815" s="3" t="s">
        <v>950</v>
      </c>
      <c r="M815" s="3" t="s">
        <v>525</v>
      </c>
      <c r="N815" s="3" t="s">
        <v>4358</v>
      </c>
      <c r="O815" s="3" t="s">
        <v>78</v>
      </c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>
        <v>14800</v>
      </c>
      <c r="AB815" s="3">
        <v>3200</v>
      </c>
      <c r="AC815" s="4">
        <v>42906</v>
      </c>
      <c r="AD815" s="3" t="s">
        <v>42</v>
      </c>
      <c r="AE815" s="3" t="s">
        <v>1096</v>
      </c>
      <c r="AF815" s="3">
        <v>720</v>
      </c>
    </row>
    <row r="816" spans="1:32" ht="27.95" x14ac:dyDescent="0.3">
      <c r="A816" s="5">
        <v>810</v>
      </c>
      <c r="B816" s="5" t="str">
        <f>"201900050872"</f>
        <v>201900050872</v>
      </c>
      <c r="C816" s="5" t="str">
        <f>"102381"</f>
        <v>102381</v>
      </c>
      <c r="D816" s="5" t="s">
        <v>4359</v>
      </c>
      <c r="E816" s="5">
        <v>20119207640</v>
      </c>
      <c r="F816" s="5" t="s">
        <v>522</v>
      </c>
      <c r="G816" s="5" t="s">
        <v>4360</v>
      </c>
      <c r="H816" s="5" t="s">
        <v>656</v>
      </c>
      <c r="I816" s="5" t="s">
        <v>656</v>
      </c>
      <c r="J816" s="5" t="s">
        <v>656</v>
      </c>
      <c r="K816" s="5" t="s">
        <v>37</v>
      </c>
      <c r="L816" s="5" t="s">
        <v>2167</v>
      </c>
      <c r="M816" s="5" t="s">
        <v>4361</v>
      </c>
      <c r="N816" s="5" t="s">
        <v>480</v>
      </c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>
        <v>24000</v>
      </c>
      <c r="AB816" s="5">
        <v>7800</v>
      </c>
      <c r="AC816" s="6">
        <v>43556</v>
      </c>
      <c r="AD816" s="5" t="s">
        <v>42</v>
      </c>
      <c r="AE816" s="5" t="s">
        <v>528</v>
      </c>
      <c r="AF816" s="5">
        <v>0</v>
      </c>
    </row>
    <row r="817" spans="1:32" x14ac:dyDescent="0.3">
      <c r="A817" s="3">
        <v>811</v>
      </c>
      <c r="B817" s="3" t="str">
        <f>"202000141134"</f>
        <v>202000141134</v>
      </c>
      <c r="C817" s="3" t="str">
        <f>"6841"</f>
        <v>6841</v>
      </c>
      <c r="D817" s="3" t="s">
        <v>4362</v>
      </c>
      <c r="E817" s="3">
        <v>20127765279</v>
      </c>
      <c r="F817" s="3" t="s">
        <v>1115</v>
      </c>
      <c r="G817" s="3" t="s">
        <v>4363</v>
      </c>
      <c r="H817" s="3" t="s">
        <v>47</v>
      </c>
      <c r="I817" s="3" t="s">
        <v>47</v>
      </c>
      <c r="J817" s="3" t="s">
        <v>1636</v>
      </c>
      <c r="K817" s="3" t="s">
        <v>37</v>
      </c>
      <c r="L817" s="3" t="s">
        <v>63</v>
      </c>
      <c r="M817" s="3" t="s">
        <v>72</v>
      </c>
      <c r="N817" s="3" t="s">
        <v>61</v>
      </c>
      <c r="O817" s="3" t="s">
        <v>171</v>
      </c>
      <c r="P817" s="3" t="s">
        <v>172</v>
      </c>
      <c r="Q817" s="3" t="s">
        <v>65</v>
      </c>
      <c r="R817" s="3" t="s">
        <v>172</v>
      </c>
      <c r="S817" s="3" t="s">
        <v>248</v>
      </c>
      <c r="T817" s="3"/>
      <c r="U817" s="3"/>
      <c r="V817" s="3"/>
      <c r="W817" s="3"/>
      <c r="X817" s="3"/>
      <c r="Y817" s="3"/>
      <c r="Z817" s="3"/>
      <c r="AA817" s="3">
        <v>38000</v>
      </c>
      <c r="AB817" s="3">
        <v>3000</v>
      </c>
      <c r="AC817" s="4">
        <v>44113</v>
      </c>
      <c r="AD817" s="3" t="s">
        <v>42</v>
      </c>
      <c r="AE817" s="3" t="s">
        <v>279</v>
      </c>
      <c r="AF817" s="3">
        <v>0</v>
      </c>
    </row>
    <row r="818" spans="1:32" ht="27.95" x14ac:dyDescent="0.3">
      <c r="A818" s="5">
        <v>812</v>
      </c>
      <c r="B818" s="5" t="str">
        <f>"201700097843"</f>
        <v>201700097843</v>
      </c>
      <c r="C818" s="5" t="str">
        <f>"82362"</f>
        <v>82362</v>
      </c>
      <c r="D818" s="5" t="s">
        <v>4364</v>
      </c>
      <c r="E818" s="5">
        <v>20498452940</v>
      </c>
      <c r="F818" s="5" t="s">
        <v>4365</v>
      </c>
      <c r="G818" s="5" t="s">
        <v>4366</v>
      </c>
      <c r="H818" s="5" t="s">
        <v>89</v>
      </c>
      <c r="I818" s="5" t="s">
        <v>4367</v>
      </c>
      <c r="J818" s="5" t="s">
        <v>4368</v>
      </c>
      <c r="K818" s="5" t="s">
        <v>37</v>
      </c>
      <c r="L818" s="5" t="s">
        <v>4369</v>
      </c>
      <c r="M818" s="5" t="s">
        <v>4370</v>
      </c>
      <c r="N818" s="5" t="s">
        <v>248</v>
      </c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>
        <v>10824</v>
      </c>
      <c r="AB818" s="5">
        <v>3000</v>
      </c>
      <c r="AC818" s="6">
        <v>42910</v>
      </c>
      <c r="AD818" s="5" t="s">
        <v>42</v>
      </c>
      <c r="AE818" s="5" t="s">
        <v>4371</v>
      </c>
      <c r="AF818" s="5">
        <v>0</v>
      </c>
    </row>
    <row r="819" spans="1:32" x14ac:dyDescent="0.3">
      <c r="A819" s="3">
        <v>813</v>
      </c>
      <c r="B819" s="3" t="str">
        <f>"201900194320"</f>
        <v>201900194320</v>
      </c>
      <c r="C819" s="3" t="str">
        <f>"62036"</f>
        <v>62036</v>
      </c>
      <c r="D819" s="3" t="s">
        <v>4372</v>
      </c>
      <c r="E819" s="3">
        <v>20561111741</v>
      </c>
      <c r="F819" s="3" t="s">
        <v>1557</v>
      </c>
      <c r="G819" s="3" t="s">
        <v>4373</v>
      </c>
      <c r="H819" s="3" t="s">
        <v>219</v>
      </c>
      <c r="I819" s="3" t="s">
        <v>1365</v>
      </c>
      <c r="J819" s="3" t="s">
        <v>1365</v>
      </c>
      <c r="K819" s="3" t="s">
        <v>37</v>
      </c>
      <c r="L819" s="3" t="s">
        <v>555</v>
      </c>
      <c r="M819" s="3" t="s">
        <v>74</v>
      </c>
      <c r="N819" s="3" t="s">
        <v>1367</v>
      </c>
      <c r="O819" s="3" t="s">
        <v>63</v>
      </c>
      <c r="P819" s="3" t="s">
        <v>94</v>
      </c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>
        <v>15000</v>
      </c>
      <c r="AB819" s="3">
        <v>5000</v>
      </c>
      <c r="AC819" s="4">
        <v>43801</v>
      </c>
      <c r="AD819" s="3" t="s">
        <v>42</v>
      </c>
      <c r="AE819" s="3" t="s">
        <v>4374</v>
      </c>
      <c r="AF819" s="3">
        <v>0</v>
      </c>
    </row>
    <row r="820" spans="1:32" ht="27.95" x14ac:dyDescent="0.3">
      <c r="A820" s="5">
        <v>814</v>
      </c>
      <c r="B820" s="5" t="str">
        <f>"201900172412"</f>
        <v>201900172412</v>
      </c>
      <c r="C820" s="5" t="str">
        <f>"7632"</f>
        <v>7632</v>
      </c>
      <c r="D820" s="5" t="s">
        <v>4375</v>
      </c>
      <c r="E820" s="5">
        <v>20458378747</v>
      </c>
      <c r="F820" s="5" t="s">
        <v>680</v>
      </c>
      <c r="G820" s="5" t="s">
        <v>4376</v>
      </c>
      <c r="H820" s="5" t="s">
        <v>116</v>
      </c>
      <c r="I820" s="5" t="s">
        <v>2324</v>
      </c>
      <c r="J820" s="5" t="s">
        <v>2324</v>
      </c>
      <c r="K820" s="5" t="s">
        <v>37</v>
      </c>
      <c r="L820" s="5" t="s">
        <v>4377</v>
      </c>
      <c r="M820" s="5" t="s">
        <v>61</v>
      </c>
      <c r="N820" s="5" t="s">
        <v>60</v>
      </c>
      <c r="O820" s="5" t="s">
        <v>72</v>
      </c>
      <c r="P820" s="5" t="s">
        <v>72</v>
      </c>
      <c r="Q820" s="5" t="s">
        <v>72</v>
      </c>
      <c r="R820" s="5" t="s">
        <v>1790</v>
      </c>
      <c r="S820" s="5"/>
      <c r="T820" s="5"/>
      <c r="U820" s="5"/>
      <c r="V820" s="5"/>
      <c r="W820" s="5"/>
      <c r="X820" s="5"/>
      <c r="Y820" s="5"/>
      <c r="Z820" s="5"/>
      <c r="AA820" s="5">
        <v>48000</v>
      </c>
      <c r="AB820" s="5">
        <v>5800</v>
      </c>
      <c r="AC820" s="6">
        <v>43760</v>
      </c>
      <c r="AD820" s="5" t="s">
        <v>42</v>
      </c>
      <c r="AE820" s="5" t="s">
        <v>685</v>
      </c>
      <c r="AF820" s="5">
        <v>0</v>
      </c>
    </row>
    <row r="821" spans="1:32" x14ac:dyDescent="0.3">
      <c r="A821" s="3">
        <v>815</v>
      </c>
      <c r="B821" s="3" t="str">
        <f>"201500067789"</f>
        <v>201500067789</v>
      </c>
      <c r="C821" s="3" t="str">
        <f>"7026"</f>
        <v>7026</v>
      </c>
      <c r="D821" s="3" t="s">
        <v>4378</v>
      </c>
      <c r="E821" s="3">
        <v>20510953755</v>
      </c>
      <c r="F821" s="3" t="s">
        <v>4379</v>
      </c>
      <c r="G821" s="3" t="s">
        <v>4380</v>
      </c>
      <c r="H821" s="3" t="s">
        <v>58</v>
      </c>
      <c r="I821" s="3" t="s">
        <v>58</v>
      </c>
      <c r="J821" s="3" t="s">
        <v>178</v>
      </c>
      <c r="K821" s="3" t="s">
        <v>37</v>
      </c>
      <c r="L821" s="3" t="s">
        <v>72</v>
      </c>
      <c r="M821" s="3" t="s">
        <v>60</v>
      </c>
      <c r="N821" s="3" t="s">
        <v>61</v>
      </c>
      <c r="O821" s="3" t="s">
        <v>63</v>
      </c>
      <c r="P821" s="3" t="s">
        <v>61</v>
      </c>
      <c r="Q821" s="3" t="s">
        <v>4381</v>
      </c>
      <c r="R821" s="3"/>
      <c r="S821" s="3"/>
      <c r="T821" s="3"/>
      <c r="U821" s="3"/>
      <c r="V821" s="3"/>
      <c r="W821" s="3"/>
      <c r="X821" s="3"/>
      <c r="Y821" s="3"/>
      <c r="Z821" s="3"/>
      <c r="AA821" s="3">
        <v>38000</v>
      </c>
      <c r="AB821" s="3">
        <v>1830</v>
      </c>
      <c r="AC821" s="4">
        <v>42155</v>
      </c>
      <c r="AD821" s="3" t="s">
        <v>42</v>
      </c>
      <c r="AE821" s="3" t="s">
        <v>3202</v>
      </c>
      <c r="AF821" s="3">
        <v>0</v>
      </c>
    </row>
    <row r="822" spans="1:32" x14ac:dyDescent="0.3">
      <c r="A822" s="5">
        <v>816</v>
      </c>
      <c r="B822" s="5" t="str">
        <f>"1472678"</f>
        <v>1472678</v>
      </c>
      <c r="C822" s="5" t="str">
        <f>"6791"</f>
        <v>6791</v>
      </c>
      <c r="D822" s="5" t="s">
        <v>4382</v>
      </c>
      <c r="E822" s="5">
        <v>20511230935</v>
      </c>
      <c r="F822" s="5" t="s">
        <v>4383</v>
      </c>
      <c r="G822" s="5" t="s">
        <v>4384</v>
      </c>
      <c r="H822" s="5" t="s">
        <v>58</v>
      </c>
      <c r="I822" s="5" t="s">
        <v>1108</v>
      </c>
      <c r="J822" s="5" t="s">
        <v>1117</v>
      </c>
      <c r="K822" s="5" t="s">
        <v>37</v>
      </c>
      <c r="L822" s="5" t="s">
        <v>4385</v>
      </c>
      <c r="M822" s="5" t="s">
        <v>593</v>
      </c>
      <c r="N822" s="5" t="s">
        <v>2223</v>
      </c>
      <c r="O822" s="5" t="s">
        <v>4386</v>
      </c>
      <c r="P822" s="5" t="s">
        <v>4387</v>
      </c>
      <c r="Q822" s="5" t="s">
        <v>775</v>
      </c>
      <c r="R822" s="5" t="s">
        <v>775</v>
      </c>
      <c r="S822" s="5" t="s">
        <v>3787</v>
      </c>
      <c r="T822" s="5" t="s">
        <v>3787</v>
      </c>
      <c r="U822" s="5"/>
      <c r="V822" s="5"/>
      <c r="W822" s="5"/>
      <c r="X822" s="5"/>
      <c r="Y822" s="5"/>
      <c r="Z822" s="5"/>
      <c r="AA822" s="5">
        <v>33000</v>
      </c>
      <c r="AB822" s="5">
        <v>3040</v>
      </c>
      <c r="AC822" s="6">
        <v>40633</v>
      </c>
      <c r="AD822" s="5" t="s">
        <v>42</v>
      </c>
      <c r="AE822" s="5" t="s">
        <v>305</v>
      </c>
      <c r="AF822" s="5">
        <v>0</v>
      </c>
    </row>
    <row r="823" spans="1:32" ht="27.95" x14ac:dyDescent="0.3">
      <c r="A823" s="3">
        <v>817</v>
      </c>
      <c r="B823" s="3" t="str">
        <f>"201700013822"</f>
        <v>201700013822</v>
      </c>
      <c r="C823" s="3" t="str">
        <f>"105599"</f>
        <v>105599</v>
      </c>
      <c r="D823" s="3" t="s">
        <v>4388</v>
      </c>
      <c r="E823" s="3">
        <v>20525166415</v>
      </c>
      <c r="F823" s="3" t="s">
        <v>4389</v>
      </c>
      <c r="G823" s="3" t="s">
        <v>4390</v>
      </c>
      <c r="H823" s="3" t="s">
        <v>58</v>
      </c>
      <c r="I823" s="3" t="s">
        <v>58</v>
      </c>
      <c r="J823" s="3" t="s">
        <v>71</v>
      </c>
      <c r="K823" s="3" t="s">
        <v>37</v>
      </c>
      <c r="L823" s="3" t="s">
        <v>862</v>
      </c>
      <c r="M823" s="3" t="s">
        <v>4391</v>
      </c>
      <c r="N823" s="3" t="s">
        <v>4392</v>
      </c>
      <c r="O823" s="3" t="s">
        <v>78</v>
      </c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>
        <v>19800</v>
      </c>
      <c r="AB823" s="3">
        <v>3200</v>
      </c>
      <c r="AC823" s="4">
        <v>42766</v>
      </c>
      <c r="AD823" s="3" t="s">
        <v>42</v>
      </c>
      <c r="AE823" s="3" t="s">
        <v>4393</v>
      </c>
      <c r="AF823" s="3">
        <v>480</v>
      </c>
    </row>
    <row r="824" spans="1:32" x14ac:dyDescent="0.3">
      <c r="A824" s="5">
        <v>818</v>
      </c>
      <c r="B824" s="5" t="str">
        <f>"201800121908"</f>
        <v>201800121908</v>
      </c>
      <c r="C824" s="5" t="str">
        <f>"105924"</f>
        <v>105924</v>
      </c>
      <c r="D824" s="5" t="s">
        <v>4394</v>
      </c>
      <c r="E824" s="5">
        <v>10224977935</v>
      </c>
      <c r="F824" s="5" t="s">
        <v>4395</v>
      </c>
      <c r="G824" s="5" t="s">
        <v>4396</v>
      </c>
      <c r="H824" s="5" t="s">
        <v>125</v>
      </c>
      <c r="I824" s="5" t="s">
        <v>125</v>
      </c>
      <c r="J824" s="5" t="s">
        <v>126</v>
      </c>
      <c r="K824" s="5" t="s">
        <v>37</v>
      </c>
      <c r="L824" s="5" t="s">
        <v>811</v>
      </c>
      <c r="M824" s="5" t="s">
        <v>412</v>
      </c>
      <c r="N824" s="5" t="s">
        <v>4397</v>
      </c>
      <c r="O824" s="5" t="s">
        <v>78</v>
      </c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>
        <v>8100</v>
      </c>
      <c r="AB824" s="5">
        <v>3200</v>
      </c>
      <c r="AC824" s="6">
        <v>43304</v>
      </c>
      <c r="AD824" s="5" t="s">
        <v>42</v>
      </c>
      <c r="AE824" s="5" t="s">
        <v>4395</v>
      </c>
      <c r="AF824" s="5">
        <v>0</v>
      </c>
    </row>
    <row r="825" spans="1:32" ht="41.95" x14ac:dyDescent="0.3">
      <c r="A825" s="3">
        <v>819</v>
      </c>
      <c r="B825" s="3" t="str">
        <f>"201900035987"</f>
        <v>201900035987</v>
      </c>
      <c r="C825" s="3" t="str">
        <f>"110291"</f>
        <v>110291</v>
      </c>
      <c r="D825" s="3" t="s">
        <v>4398</v>
      </c>
      <c r="E825" s="3">
        <v>20603731175</v>
      </c>
      <c r="F825" s="3" t="s">
        <v>4399</v>
      </c>
      <c r="G825" s="3" t="s">
        <v>4400</v>
      </c>
      <c r="H825" s="3" t="s">
        <v>58</v>
      </c>
      <c r="I825" s="3" t="s">
        <v>554</v>
      </c>
      <c r="J825" s="3" t="s">
        <v>4401</v>
      </c>
      <c r="K825" s="3" t="s">
        <v>37</v>
      </c>
      <c r="L825" s="3" t="s">
        <v>4402</v>
      </c>
      <c r="M825" s="3" t="s">
        <v>4403</v>
      </c>
      <c r="N825" s="3" t="s">
        <v>94</v>
      </c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>
        <v>4600</v>
      </c>
      <c r="AB825" s="3">
        <v>5000</v>
      </c>
      <c r="AC825" s="4">
        <v>43532</v>
      </c>
      <c r="AD825" s="3" t="s">
        <v>42</v>
      </c>
      <c r="AE825" s="3" t="s">
        <v>4404</v>
      </c>
      <c r="AF825" s="3">
        <v>0</v>
      </c>
    </row>
    <row r="826" spans="1:32" ht="27.95" x14ac:dyDescent="0.3">
      <c r="A826" s="5">
        <v>820</v>
      </c>
      <c r="B826" s="5" t="str">
        <f>"201800035421"</f>
        <v>201800035421</v>
      </c>
      <c r="C826" s="5" t="str">
        <f>"34649"</f>
        <v>34649</v>
      </c>
      <c r="D826" s="5" t="s">
        <v>4405</v>
      </c>
      <c r="E826" s="5">
        <v>20517767396</v>
      </c>
      <c r="F826" s="5" t="s">
        <v>4406</v>
      </c>
      <c r="G826" s="5" t="s">
        <v>4407</v>
      </c>
      <c r="H826" s="5" t="s">
        <v>58</v>
      </c>
      <c r="I826" s="5" t="s">
        <v>58</v>
      </c>
      <c r="J826" s="5" t="s">
        <v>99</v>
      </c>
      <c r="K826" s="5" t="s">
        <v>37</v>
      </c>
      <c r="L826" s="5" t="s">
        <v>4408</v>
      </c>
      <c r="M826" s="5" t="s">
        <v>103</v>
      </c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>
        <v>5000</v>
      </c>
      <c r="AB826" s="5">
        <v>2500</v>
      </c>
      <c r="AC826" s="6">
        <v>43164</v>
      </c>
      <c r="AD826" s="5" t="s">
        <v>42</v>
      </c>
      <c r="AE826" s="5" t="s">
        <v>4231</v>
      </c>
      <c r="AF826" s="5">
        <v>120</v>
      </c>
    </row>
    <row r="827" spans="1:32" x14ac:dyDescent="0.3">
      <c r="A827" s="3">
        <v>821</v>
      </c>
      <c r="B827" s="3" t="str">
        <f>"201500131424"</f>
        <v>201500131424</v>
      </c>
      <c r="C827" s="3" t="str">
        <f>"6900"</f>
        <v>6900</v>
      </c>
      <c r="D827" s="3" t="s">
        <v>4409</v>
      </c>
      <c r="E827" s="3">
        <v>20510014198</v>
      </c>
      <c r="F827" s="3" t="s">
        <v>4410</v>
      </c>
      <c r="G827" s="3" t="s">
        <v>4411</v>
      </c>
      <c r="H827" s="3" t="s">
        <v>47</v>
      </c>
      <c r="I827" s="3" t="s">
        <v>159</v>
      </c>
      <c r="J827" s="3" t="s">
        <v>160</v>
      </c>
      <c r="K827" s="3" t="s">
        <v>37</v>
      </c>
      <c r="L827" s="3" t="s">
        <v>4412</v>
      </c>
      <c r="M827" s="3" t="s">
        <v>4413</v>
      </c>
      <c r="N827" s="3" t="s">
        <v>4414</v>
      </c>
      <c r="O827" s="3" t="s">
        <v>2800</v>
      </c>
      <c r="P827" s="3" t="s">
        <v>78</v>
      </c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>
        <v>16460</v>
      </c>
      <c r="AB827" s="3">
        <v>3200</v>
      </c>
      <c r="AC827" s="4">
        <v>42284</v>
      </c>
      <c r="AD827" s="3" t="s">
        <v>42</v>
      </c>
      <c r="AE827" s="3" t="s">
        <v>4415</v>
      </c>
      <c r="AF827" s="3">
        <v>0</v>
      </c>
    </row>
    <row r="828" spans="1:32" ht="27.95" x14ac:dyDescent="0.3">
      <c r="A828" s="5">
        <v>822</v>
      </c>
      <c r="B828" s="5" t="str">
        <f>"201900115510"</f>
        <v>201900115510</v>
      </c>
      <c r="C828" s="5" t="str">
        <f>"100259"</f>
        <v>100259</v>
      </c>
      <c r="D828" s="5" t="s">
        <v>4416</v>
      </c>
      <c r="E828" s="5">
        <v>20604178704</v>
      </c>
      <c r="F828" s="5" t="s">
        <v>2968</v>
      </c>
      <c r="G828" s="5" t="s">
        <v>4417</v>
      </c>
      <c r="H828" s="5" t="s">
        <v>36</v>
      </c>
      <c r="I828" s="5" t="s">
        <v>409</v>
      </c>
      <c r="J828" s="5" t="s">
        <v>410</v>
      </c>
      <c r="K828" s="5" t="s">
        <v>37</v>
      </c>
      <c r="L828" s="5" t="s">
        <v>102</v>
      </c>
      <c r="M828" s="5" t="s">
        <v>4418</v>
      </c>
      <c r="N828" s="5" t="s">
        <v>76</v>
      </c>
      <c r="O828" s="5" t="s">
        <v>94</v>
      </c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>
        <v>12000</v>
      </c>
      <c r="AB828" s="5">
        <v>5000</v>
      </c>
      <c r="AC828" s="6">
        <v>43665</v>
      </c>
      <c r="AD828" s="5" t="s">
        <v>42</v>
      </c>
      <c r="AE828" s="5" t="s">
        <v>2972</v>
      </c>
      <c r="AF828" s="5">
        <v>0</v>
      </c>
    </row>
    <row r="829" spans="1:32" x14ac:dyDescent="0.3">
      <c r="A829" s="3">
        <v>823</v>
      </c>
      <c r="B829" s="3" t="str">
        <f>"201900204050"</f>
        <v>201900204050</v>
      </c>
      <c r="C829" s="3" t="str">
        <f>"19985"</f>
        <v>19985</v>
      </c>
      <c r="D829" s="3" t="s">
        <v>4419</v>
      </c>
      <c r="E829" s="3">
        <v>20127765279</v>
      </c>
      <c r="F829" s="3" t="s">
        <v>1115</v>
      </c>
      <c r="G829" s="3" t="s">
        <v>4420</v>
      </c>
      <c r="H829" s="3" t="s">
        <v>58</v>
      </c>
      <c r="I829" s="3" t="s">
        <v>58</v>
      </c>
      <c r="J829" s="3" t="s">
        <v>3583</v>
      </c>
      <c r="K829" s="3" t="s">
        <v>37</v>
      </c>
      <c r="L829" s="3" t="s">
        <v>743</v>
      </c>
      <c r="M829" s="3" t="s">
        <v>50</v>
      </c>
      <c r="N829" s="3" t="s">
        <v>51</v>
      </c>
      <c r="O829" s="3" t="s">
        <v>102</v>
      </c>
      <c r="P829" s="3" t="s">
        <v>3056</v>
      </c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>
        <v>20000</v>
      </c>
      <c r="AB829" s="3">
        <v>2750</v>
      </c>
      <c r="AC829" s="4">
        <v>43812</v>
      </c>
      <c r="AD829" s="3" t="s">
        <v>42</v>
      </c>
      <c r="AE829" s="3" t="s">
        <v>279</v>
      </c>
      <c r="AF829" s="3">
        <v>0</v>
      </c>
    </row>
    <row r="830" spans="1:32" ht="27.95" x14ac:dyDescent="0.3">
      <c r="A830" s="5">
        <v>824</v>
      </c>
      <c r="B830" s="5" t="str">
        <f>"202000053594"</f>
        <v>202000053594</v>
      </c>
      <c r="C830" s="5" t="str">
        <f>"44174"</f>
        <v>44174</v>
      </c>
      <c r="D830" s="5" t="s">
        <v>4421</v>
      </c>
      <c r="E830" s="5">
        <v>20480025106</v>
      </c>
      <c r="F830" s="5" t="s">
        <v>4422</v>
      </c>
      <c r="G830" s="5" t="s">
        <v>4423</v>
      </c>
      <c r="H830" s="5" t="s">
        <v>436</v>
      </c>
      <c r="I830" s="5" t="s">
        <v>3122</v>
      </c>
      <c r="J830" s="5" t="s">
        <v>3123</v>
      </c>
      <c r="K830" s="5" t="s">
        <v>37</v>
      </c>
      <c r="L830" s="5" t="s">
        <v>63</v>
      </c>
      <c r="M830" s="5" t="s">
        <v>4424</v>
      </c>
      <c r="N830" s="5" t="s">
        <v>127</v>
      </c>
      <c r="O830" s="5" t="s">
        <v>127</v>
      </c>
      <c r="P830" s="5" t="s">
        <v>1949</v>
      </c>
      <c r="Q830" s="5" t="s">
        <v>78</v>
      </c>
      <c r="R830" s="5"/>
      <c r="S830" s="5"/>
      <c r="T830" s="5"/>
      <c r="U830" s="5"/>
      <c r="V830" s="5"/>
      <c r="W830" s="5"/>
      <c r="X830" s="5"/>
      <c r="Y830" s="5"/>
      <c r="Z830" s="5"/>
      <c r="AA830" s="5">
        <v>23700</v>
      </c>
      <c r="AB830" s="5">
        <v>3200</v>
      </c>
      <c r="AC830" s="6">
        <v>43951</v>
      </c>
      <c r="AD830" s="5" t="s">
        <v>42</v>
      </c>
      <c r="AE830" s="5" t="s">
        <v>3749</v>
      </c>
      <c r="AF830" s="5">
        <v>0</v>
      </c>
    </row>
    <row r="831" spans="1:32" ht="41.95" x14ac:dyDescent="0.3">
      <c r="A831" s="3">
        <v>825</v>
      </c>
      <c r="B831" s="3" t="str">
        <f>"201900116413"</f>
        <v>201900116413</v>
      </c>
      <c r="C831" s="3" t="str">
        <f>"145317"</f>
        <v>145317</v>
      </c>
      <c r="D831" s="3" t="s">
        <v>4425</v>
      </c>
      <c r="E831" s="3">
        <v>20602723527</v>
      </c>
      <c r="F831" s="3" t="s">
        <v>4426</v>
      </c>
      <c r="G831" s="3" t="s">
        <v>4427</v>
      </c>
      <c r="H831" s="3" t="s">
        <v>656</v>
      </c>
      <c r="I831" s="3" t="s">
        <v>656</v>
      </c>
      <c r="J831" s="3" t="s">
        <v>656</v>
      </c>
      <c r="K831" s="3" t="s">
        <v>37</v>
      </c>
      <c r="L831" s="3" t="s">
        <v>166</v>
      </c>
      <c r="M831" s="3" t="s">
        <v>166</v>
      </c>
      <c r="N831" s="3" t="s">
        <v>2214</v>
      </c>
      <c r="O831" s="3" t="s">
        <v>4428</v>
      </c>
      <c r="P831" s="3" t="s">
        <v>41</v>
      </c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>
        <v>40000</v>
      </c>
      <c r="AB831" s="3">
        <v>10000</v>
      </c>
      <c r="AC831" s="4">
        <v>43665</v>
      </c>
      <c r="AD831" s="3" t="s">
        <v>42</v>
      </c>
      <c r="AE831" s="3" t="s">
        <v>2219</v>
      </c>
      <c r="AF831" s="3">
        <v>0</v>
      </c>
    </row>
    <row r="832" spans="1:32" ht="27.95" x14ac:dyDescent="0.3">
      <c r="A832" s="5">
        <v>826</v>
      </c>
      <c r="B832" s="5" t="str">
        <f>"202000143569"</f>
        <v>202000143569</v>
      </c>
      <c r="C832" s="5" t="str">
        <f>"138972"</f>
        <v>138972</v>
      </c>
      <c r="D832" s="5" t="s">
        <v>4429</v>
      </c>
      <c r="E832" s="5">
        <v>20603632215</v>
      </c>
      <c r="F832" s="5" t="s">
        <v>4430</v>
      </c>
      <c r="G832" s="5" t="s">
        <v>4431</v>
      </c>
      <c r="H832" s="5" t="s">
        <v>125</v>
      </c>
      <c r="I832" s="5" t="s">
        <v>509</v>
      </c>
      <c r="J832" s="5" t="s">
        <v>510</v>
      </c>
      <c r="K832" s="5" t="s">
        <v>37</v>
      </c>
      <c r="L832" s="5" t="s">
        <v>557</v>
      </c>
      <c r="M832" s="5" t="s">
        <v>1238</v>
      </c>
      <c r="N832" s="5" t="s">
        <v>4432</v>
      </c>
      <c r="O832" s="5" t="s">
        <v>480</v>
      </c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>
        <v>21000</v>
      </c>
      <c r="AB832" s="5">
        <v>7800</v>
      </c>
      <c r="AC832" s="6">
        <v>44120</v>
      </c>
      <c r="AD832" s="6">
        <v>44485</v>
      </c>
      <c r="AE832" s="5" t="s">
        <v>2855</v>
      </c>
      <c r="AF832" s="5">
        <v>720</v>
      </c>
    </row>
    <row r="833" spans="1:32" ht="27.95" x14ac:dyDescent="0.3">
      <c r="A833" s="3">
        <v>827</v>
      </c>
      <c r="B833" s="3" t="str">
        <f>"201500039659"</f>
        <v>201500039659</v>
      </c>
      <c r="C833" s="3" t="str">
        <f>"7195"</f>
        <v>7195</v>
      </c>
      <c r="D833" s="3" t="s">
        <v>4433</v>
      </c>
      <c r="E833" s="3">
        <v>20114158144</v>
      </c>
      <c r="F833" s="3" t="s">
        <v>4434</v>
      </c>
      <c r="G833" s="3" t="s">
        <v>4435</v>
      </c>
      <c r="H833" s="3" t="s">
        <v>116</v>
      </c>
      <c r="I833" s="3" t="s">
        <v>339</v>
      </c>
      <c r="J833" s="3" t="s">
        <v>612</v>
      </c>
      <c r="K833" s="3" t="s">
        <v>37</v>
      </c>
      <c r="L833" s="3" t="s">
        <v>950</v>
      </c>
      <c r="M833" s="3" t="s">
        <v>477</v>
      </c>
      <c r="N833" s="3" t="s">
        <v>4436</v>
      </c>
      <c r="O833" s="3" t="s">
        <v>1237</v>
      </c>
      <c r="P833" s="3" t="s">
        <v>380</v>
      </c>
      <c r="Q833" s="3" t="s">
        <v>398</v>
      </c>
      <c r="R833" s="3" t="s">
        <v>94</v>
      </c>
      <c r="S833" s="3"/>
      <c r="T833" s="3"/>
      <c r="U833" s="3"/>
      <c r="V833" s="3"/>
      <c r="W833" s="3"/>
      <c r="X833" s="3"/>
      <c r="Y833" s="3"/>
      <c r="Z833" s="3"/>
      <c r="AA833" s="3">
        <v>43000</v>
      </c>
      <c r="AB833" s="3">
        <v>5000</v>
      </c>
      <c r="AC833" s="4">
        <v>42108</v>
      </c>
      <c r="AD833" s="3" t="s">
        <v>42</v>
      </c>
      <c r="AE833" s="3" t="s">
        <v>4437</v>
      </c>
      <c r="AF833" s="3">
        <v>720</v>
      </c>
    </row>
    <row r="834" spans="1:32" ht="27.95" x14ac:dyDescent="0.3">
      <c r="A834" s="5">
        <v>828</v>
      </c>
      <c r="B834" s="5" t="str">
        <f>"201600022486"</f>
        <v>201600022486</v>
      </c>
      <c r="C834" s="5" t="str">
        <f>"17869"</f>
        <v>17869</v>
      </c>
      <c r="D834" s="5" t="s">
        <v>4438</v>
      </c>
      <c r="E834" s="5">
        <v>20264395586</v>
      </c>
      <c r="F834" s="5" t="s">
        <v>4439</v>
      </c>
      <c r="G834" s="5" t="s">
        <v>4440</v>
      </c>
      <c r="H834" s="5" t="s">
        <v>58</v>
      </c>
      <c r="I834" s="5" t="s">
        <v>58</v>
      </c>
      <c r="J834" s="5" t="s">
        <v>59</v>
      </c>
      <c r="K834" s="5" t="s">
        <v>37</v>
      </c>
      <c r="L834" s="5" t="s">
        <v>72</v>
      </c>
      <c r="M834" s="5" t="s">
        <v>72</v>
      </c>
      <c r="N834" s="5" t="s">
        <v>709</v>
      </c>
      <c r="O834" s="5" t="s">
        <v>76</v>
      </c>
      <c r="P834" s="5" t="s">
        <v>103</v>
      </c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>
        <v>26000</v>
      </c>
      <c r="AB834" s="5">
        <v>2500</v>
      </c>
      <c r="AC834" s="6">
        <v>42419</v>
      </c>
      <c r="AD834" s="5" t="s">
        <v>42</v>
      </c>
      <c r="AE834" s="5" t="s">
        <v>4441</v>
      </c>
      <c r="AF834" s="5">
        <v>240</v>
      </c>
    </row>
    <row r="835" spans="1:32" ht="27.95" x14ac:dyDescent="0.3">
      <c r="A835" s="3">
        <v>829</v>
      </c>
      <c r="B835" s="3" t="str">
        <f>"201400010308"</f>
        <v>201400010308</v>
      </c>
      <c r="C835" s="3" t="str">
        <f>"106520"</f>
        <v>106520</v>
      </c>
      <c r="D835" s="3" t="s">
        <v>4442</v>
      </c>
      <c r="E835" s="3">
        <v>20486534720</v>
      </c>
      <c r="F835" s="3" t="s">
        <v>4443</v>
      </c>
      <c r="G835" s="3" t="s">
        <v>4444</v>
      </c>
      <c r="H835" s="3" t="s">
        <v>108</v>
      </c>
      <c r="I835" s="3" t="s">
        <v>647</v>
      </c>
      <c r="J835" s="3" t="s">
        <v>846</v>
      </c>
      <c r="K835" s="3" t="s">
        <v>37</v>
      </c>
      <c r="L835" s="3" t="s">
        <v>593</v>
      </c>
      <c r="M835" s="3" t="s">
        <v>4445</v>
      </c>
      <c r="N835" s="3" t="s">
        <v>4446</v>
      </c>
      <c r="O835" s="3" t="s">
        <v>94</v>
      </c>
      <c r="P835" s="3" t="s">
        <v>78</v>
      </c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>
        <v>18000</v>
      </c>
      <c r="AB835" s="3">
        <v>8200</v>
      </c>
      <c r="AC835" s="4">
        <v>41674</v>
      </c>
      <c r="AD835" s="3" t="s">
        <v>42</v>
      </c>
      <c r="AE835" s="3" t="s">
        <v>4447</v>
      </c>
      <c r="AF835" s="3">
        <v>0</v>
      </c>
    </row>
    <row r="836" spans="1:32" ht="27.95" x14ac:dyDescent="0.3">
      <c r="A836" s="5">
        <v>830</v>
      </c>
      <c r="B836" s="5" t="str">
        <f>"201600002839"</f>
        <v>201600002839</v>
      </c>
      <c r="C836" s="5" t="str">
        <f>"87590"</f>
        <v>87590</v>
      </c>
      <c r="D836" s="5" t="s">
        <v>4448</v>
      </c>
      <c r="E836" s="5">
        <v>20541339362</v>
      </c>
      <c r="F836" s="5" t="s">
        <v>4449</v>
      </c>
      <c r="G836" s="5" t="s">
        <v>4450</v>
      </c>
      <c r="H836" s="5" t="s">
        <v>108</v>
      </c>
      <c r="I836" s="5" t="s">
        <v>144</v>
      </c>
      <c r="J836" s="5" t="s">
        <v>779</v>
      </c>
      <c r="K836" s="5" t="s">
        <v>37</v>
      </c>
      <c r="L836" s="5" t="s">
        <v>262</v>
      </c>
      <c r="M836" s="5" t="s">
        <v>3096</v>
      </c>
      <c r="N836" s="5" t="s">
        <v>63</v>
      </c>
      <c r="O836" s="5" t="s">
        <v>94</v>
      </c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>
        <v>18000</v>
      </c>
      <c r="AB836" s="5">
        <v>5000</v>
      </c>
      <c r="AC836" s="6">
        <v>42381</v>
      </c>
      <c r="AD836" s="5" t="s">
        <v>42</v>
      </c>
      <c r="AE836" s="5" t="s">
        <v>4451</v>
      </c>
      <c r="AF836" s="5">
        <v>0</v>
      </c>
    </row>
    <row r="837" spans="1:32" ht="27.95" x14ac:dyDescent="0.3">
      <c r="A837" s="3">
        <v>831</v>
      </c>
      <c r="B837" s="3" t="str">
        <f>"201700117055"</f>
        <v>201700117055</v>
      </c>
      <c r="C837" s="3" t="str">
        <f>"8038"</f>
        <v>8038</v>
      </c>
      <c r="D837" s="3" t="s">
        <v>4452</v>
      </c>
      <c r="E837" s="3">
        <v>20452350921</v>
      </c>
      <c r="F837" s="3" t="s">
        <v>4453</v>
      </c>
      <c r="G837" s="3" t="s">
        <v>4454</v>
      </c>
      <c r="H837" s="3" t="s">
        <v>47</v>
      </c>
      <c r="I837" s="3" t="s">
        <v>47</v>
      </c>
      <c r="J837" s="3" t="s">
        <v>170</v>
      </c>
      <c r="K837" s="3" t="s">
        <v>37</v>
      </c>
      <c r="L837" s="3" t="s">
        <v>51</v>
      </c>
      <c r="M837" s="3" t="s">
        <v>743</v>
      </c>
      <c r="N837" s="3" t="s">
        <v>51</v>
      </c>
      <c r="O837" s="3" t="s">
        <v>60</v>
      </c>
      <c r="P837" s="3" t="s">
        <v>72</v>
      </c>
      <c r="Q837" s="3" t="s">
        <v>52</v>
      </c>
      <c r="R837" s="3" t="s">
        <v>78</v>
      </c>
      <c r="S837" s="3"/>
      <c r="T837" s="3"/>
      <c r="U837" s="3"/>
      <c r="V837" s="3"/>
      <c r="W837" s="3"/>
      <c r="X837" s="3"/>
      <c r="Y837" s="3"/>
      <c r="Z837" s="3"/>
      <c r="AA837" s="3">
        <v>3900</v>
      </c>
      <c r="AB837" s="3">
        <v>3200</v>
      </c>
      <c r="AC837" s="4">
        <v>42940</v>
      </c>
      <c r="AD837" s="3" t="s">
        <v>42</v>
      </c>
      <c r="AE837" s="3" t="s">
        <v>4455</v>
      </c>
      <c r="AF837" s="3">
        <v>0</v>
      </c>
    </row>
    <row r="838" spans="1:32" x14ac:dyDescent="0.3">
      <c r="A838" s="5">
        <v>832</v>
      </c>
      <c r="B838" s="5" t="str">
        <f>"201900104199"</f>
        <v>201900104199</v>
      </c>
      <c r="C838" s="5" t="str">
        <f>"7108"</f>
        <v>7108</v>
      </c>
      <c r="D838" s="5" t="s">
        <v>4456</v>
      </c>
      <c r="E838" s="5">
        <v>20569254222</v>
      </c>
      <c r="F838" s="5" t="s">
        <v>4457</v>
      </c>
      <c r="G838" s="5" t="s">
        <v>4458</v>
      </c>
      <c r="H838" s="5" t="s">
        <v>116</v>
      </c>
      <c r="I838" s="5" t="s">
        <v>4459</v>
      </c>
      <c r="J838" s="5" t="s">
        <v>4459</v>
      </c>
      <c r="K838" s="5" t="s">
        <v>37</v>
      </c>
      <c r="L838" s="5" t="s">
        <v>172</v>
      </c>
      <c r="M838" s="5" t="s">
        <v>161</v>
      </c>
      <c r="N838" s="5" t="s">
        <v>63</v>
      </c>
      <c r="O838" s="5" t="s">
        <v>65</v>
      </c>
      <c r="P838" s="5" t="s">
        <v>171</v>
      </c>
      <c r="Q838" s="5" t="s">
        <v>154</v>
      </c>
      <c r="R838" s="5"/>
      <c r="S838" s="5"/>
      <c r="T838" s="5"/>
      <c r="U838" s="5"/>
      <c r="V838" s="5"/>
      <c r="W838" s="5"/>
      <c r="X838" s="5"/>
      <c r="Y838" s="5"/>
      <c r="Z838" s="5"/>
      <c r="AA838" s="5">
        <v>24000</v>
      </c>
      <c r="AB838" s="5">
        <v>6000</v>
      </c>
      <c r="AC838" s="6">
        <v>43648</v>
      </c>
      <c r="AD838" s="5" t="s">
        <v>42</v>
      </c>
      <c r="AE838" s="5" t="s">
        <v>4460</v>
      </c>
      <c r="AF838" s="5">
        <v>720</v>
      </c>
    </row>
    <row r="839" spans="1:32" x14ac:dyDescent="0.3">
      <c r="A839" s="3">
        <v>833</v>
      </c>
      <c r="B839" s="3" t="str">
        <f>"201700048650"</f>
        <v>201700048650</v>
      </c>
      <c r="C839" s="3" t="str">
        <f>"6809"</f>
        <v>6809</v>
      </c>
      <c r="D839" s="3" t="s">
        <v>4461</v>
      </c>
      <c r="E839" s="3">
        <v>20196437194</v>
      </c>
      <c r="F839" s="3" t="s">
        <v>4462</v>
      </c>
      <c r="G839" s="3" t="s">
        <v>4463</v>
      </c>
      <c r="H839" s="3" t="s">
        <v>58</v>
      </c>
      <c r="I839" s="3" t="s">
        <v>58</v>
      </c>
      <c r="J839" s="3" t="s">
        <v>1267</v>
      </c>
      <c r="K839" s="3" t="s">
        <v>37</v>
      </c>
      <c r="L839" s="3" t="s">
        <v>404</v>
      </c>
      <c r="M839" s="3" t="s">
        <v>161</v>
      </c>
      <c r="N839" s="3" t="s">
        <v>63</v>
      </c>
      <c r="O839" s="3" t="s">
        <v>63</v>
      </c>
      <c r="P839" s="3" t="s">
        <v>171</v>
      </c>
      <c r="Q839" s="3" t="s">
        <v>397</v>
      </c>
      <c r="R839" s="3" t="s">
        <v>78</v>
      </c>
      <c r="S839" s="3"/>
      <c r="T839" s="3"/>
      <c r="U839" s="3"/>
      <c r="V839" s="3"/>
      <c r="W839" s="3"/>
      <c r="X839" s="3"/>
      <c r="Y839" s="3"/>
      <c r="Z839" s="3"/>
      <c r="AA839" s="3">
        <v>31000</v>
      </c>
      <c r="AB839" s="3">
        <v>3200</v>
      </c>
      <c r="AC839" s="4">
        <v>42829</v>
      </c>
      <c r="AD839" s="3" t="s">
        <v>42</v>
      </c>
      <c r="AE839" s="3" t="s">
        <v>3991</v>
      </c>
      <c r="AF839" s="3">
        <v>0</v>
      </c>
    </row>
    <row r="840" spans="1:32" x14ac:dyDescent="0.3">
      <c r="A840" s="5">
        <v>834</v>
      </c>
      <c r="B840" s="5" t="str">
        <f>"201900107762"</f>
        <v>201900107762</v>
      </c>
      <c r="C840" s="5" t="str">
        <f>"17910"</f>
        <v>17910</v>
      </c>
      <c r="D840" s="5" t="s">
        <v>4464</v>
      </c>
      <c r="E840" s="5">
        <v>20224279893</v>
      </c>
      <c r="F840" s="5" t="s">
        <v>4465</v>
      </c>
      <c r="G840" s="5" t="s">
        <v>4466</v>
      </c>
      <c r="H840" s="5" t="s">
        <v>58</v>
      </c>
      <c r="I840" s="5" t="s">
        <v>58</v>
      </c>
      <c r="J840" s="5" t="s">
        <v>4467</v>
      </c>
      <c r="K840" s="5" t="s">
        <v>37</v>
      </c>
      <c r="L840" s="5" t="s">
        <v>72</v>
      </c>
      <c r="M840" s="5" t="s">
        <v>171</v>
      </c>
      <c r="N840" s="5" t="s">
        <v>664</v>
      </c>
      <c r="O840" s="5" t="s">
        <v>4468</v>
      </c>
      <c r="P840" s="5" t="s">
        <v>1143</v>
      </c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>
        <v>19000</v>
      </c>
      <c r="AB840" s="5">
        <v>3300</v>
      </c>
      <c r="AC840" s="6">
        <v>43658</v>
      </c>
      <c r="AD840" s="5" t="s">
        <v>42</v>
      </c>
      <c r="AE840" s="5" t="s">
        <v>4469</v>
      </c>
      <c r="AF840" s="5">
        <v>0</v>
      </c>
    </row>
    <row r="841" spans="1:32" ht="27.95" x14ac:dyDescent="0.3">
      <c r="A841" s="3">
        <v>835</v>
      </c>
      <c r="B841" s="3" t="str">
        <f>"201900114663"</f>
        <v>201900114663</v>
      </c>
      <c r="C841" s="3" t="str">
        <f>"8472"</f>
        <v>8472</v>
      </c>
      <c r="D841" s="3" t="s">
        <v>4470</v>
      </c>
      <c r="E841" s="3">
        <v>20315220301</v>
      </c>
      <c r="F841" s="3" t="s">
        <v>4471</v>
      </c>
      <c r="G841" s="3" t="s">
        <v>4472</v>
      </c>
      <c r="H841" s="3" t="s">
        <v>219</v>
      </c>
      <c r="I841" s="3" t="s">
        <v>220</v>
      </c>
      <c r="J841" s="3" t="s">
        <v>220</v>
      </c>
      <c r="K841" s="3" t="s">
        <v>37</v>
      </c>
      <c r="L841" s="3" t="s">
        <v>512</v>
      </c>
      <c r="M841" s="3" t="s">
        <v>4473</v>
      </c>
      <c r="N841" s="3" t="s">
        <v>557</v>
      </c>
      <c r="O841" s="3" t="s">
        <v>557</v>
      </c>
      <c r="P841" s="3" t="s">
        <v>1314</v>
      </c>
      <c r="Q841" s="3" t="s">
        <v>2282</v>
      </c>
      <c r="R841" s="3"/>
      <c r="S841" s="3"/>
      <c r="T841" s="3"/>
      <c r="U841" s="3"/>
      <c r="V841" s="3"/>
      <c r="W841" s="3"/>
      <c r="X841" s="3"/>
      <c r="Y841" s="3"/>
      <c r="Z841" s="3"/>
      <c r="AA841" s="3">
        <v>34500</v>
      </c>
      <c r="AB841" s="3">
        <v>8000</v>
      </c>
      <c r="AC841" s="4">
        <v>43664</v>
      </c>
      <c r="AD841" s="3" t="s">
        <v>42</v>
      </c>
      <c r="AE841" s="3" t="s">
        <v>4474</v>
      </c>
      <c r="AF841" s="3">
        <v>0</v>
      </c>
    </row>
    <row r="842" spans="1:32" x14ac:dyDescent="0.3">
      <c r="A842" s="5">
        <v>836</v>
      </c>
      <c r="B842" s="5" t="str">
        <f>"201600178803"</f>
        <v>201600178803</v>
      </c>
      <c r="C842" s="5" t="str">
        <f>"18862"</f>
        <v>18862</v>
      </c>
      <c r="D842" s="5" t="s">
        <v>4475</v>
      </c>
      <c r="E842" s="5">
        <v>20513495634</v>
      </c>
      <c r="F842" s="5" t="s">
        <v>4476</v>
      </c>
      <c r="G842" s="5" t="s">
        <v>4477</v>
      </c>
      <c r="H842" s="5" t="s">
        <v>58</v>
      </c>
      <c r="I842" s="5" t="s">
        <v>1108</v>
      </c>
      <c r="J842" s="5" t="s">
        <v>1850</v>
      </c>
      <c r="K842" s="5" t="s">
        <v>37</v>
      </c>
      <c r="L842" s="5" t="s">
        <v>4478</v>
      </c>
      <c r="M842" s="5" t="s">
        <v>4479</v>
      </c>
      <c r="N842" s="5" t="s">
        <v>4480</v>
      </c>
      <c r="O842" s="5" t="s">
        <v>4481</v>
      </c>
      <c r="P842" s="5" t="s">
        <v>94</v>
      </c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>
        <v>20141</v>
      </c>
      <c r="AB842" s="5">
        <v>5000</v>
      </c>
      <c r="AC842" s="6">
        <v>42720</v>
      </c>
      <c r="AD842" s="5" t="s">
        <v>42</v>
      </c>
      <c r="AE842" s="5" t="s">
        <v>4482</v>
      </c>
      <c r="AF842" s="5">
        <v>240</v>
      </c>
    </row>
    <row r="843" spans="1:32" ht="27.95" x14ac:dyDescent="0.3">
      <c r="A843" s="3">
        <v>837</v>
      </c>
      <c r="B843" s="3" t="str">
        <f>"201800078921"</f>
        <v>201800078921</v>
      </c>
      <c r="C843" s="3" t="str">
        <f>"19926"</f>
        <v>19926</v>
      </c>
      <c r="D843" s="3" t="s">
        <v>4483</v>
      </c>
      <c r="E843" s="3">
        <v>20480882289</v>
      </c>
      <c r="F843" s="3" t="s">
        <v>4484</v>
      </c>
      <c r="G843" s="3" t="s">
        <v>4485</v>
      </c>
      <c r="H843" s="3" t="s">
        <v>219</v>
      </c>
      <c r="I843" s="3" t="s">
        <v>2027</v>
      </c>
      <c r="J843" s="3" t="s">
        <v>2027</v>
      </c>
      <c r="K843" s="3" t="s">
        <v>37</v>
      </c>
      <c r="L843" s="3" t="s">
        <v>359</v>
      </c>
      <c r="M843" s="3" t="s">
        <v>359</v>
      </c>
      <c r="N843" s="3" t="s">
        <v>4486</v>
      </c>
      <c r="O843" s="3" t="s">
        <v>174</v>
      </c>
      <c r="P843" s="3" t="s">
        <v>171</v>
      </c>
      <c r="Q843" s="3" t="s">
        <v>94</v>
      </c>
      <c r="R843" s="3"/>
      <c r="S843" s="3"/>
      <c r="T843" s="3"/>
      <c r="U843" s="3"/>
      <c r="V843" s="3"/>
      <c r="W843" s="3"/>
      <c r="X843" s="3"/>
      <c r="Y843" s="3"/>
      <c r="Z843" s="3"/>
      <c r="AA843" s="3">
        <v>23900</v>
      </c>
      <c r="AB843" s="3">
        <v>5000</v>
      </c>
      <c r="AC843" s="4">
        <v>43241</v>
      </c>
      <c r="AD843" s="3" t="s">
        <v>42</v>
      </c>
      <c r="AE843" s="3" t="s">
        <v>4487</v>
      </c>
      <c r="AF843" s="3">
        <v>720</v>
      </c>
    </row>
    <row r="844" spans="1:32" ht="27.95" x14ac:dyDescent="0.3">
      <c r="A844" s="5">
        <v>838</v>
      </c>
      <c r="B844" s="5" t="str">
        <f>"201900169535"</f>
        <v>201900169535</v>
      </c>
      <c r="C844" s="5" t="str">
        <f>"102685"</f>
        <v>102685</v>
      </c>
      <c r="D844" s="5" t="s">
        <v>4488</v>
      </c>
      <c r="E844" s="5">
        <v>20480751265</v>
      </c>
      <c r="F844" s="5" t="s">
        <v>4489</v>
      </c>
      <c r="G844" s="5" t="s">
        <v>4490</v>
      </c>
      <c r="H844" s="5" t="s">
        <v>36</v>
      </c>
      <c r="I844" s="5" t="s">
        <v>409</v>
      </c>
      <c r="J844" s="5" t="s">
        <v>409</v>
      </c>
      <c r="K844" s="5" t="s">
        <v>37</v>
      </c>
      <c r="L844" s="5" t="s">
        <v>102</v>
      </c>
      <c r="M844" s="5" t="s">
        <v>368</v>
      </c>
      <c r="N844" s="5" t="s">
        <v>276</v>
      </c>
      <c r="O844" s="5" t="s">
        <v>1637</v>
      </c>
      <c r="P844" s="5" t="s">
        <v>54</v>
      </c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>
        <v>10000</v>
      </c>
      <c r="AB844" s="5">
        <v>4000</v>
      </c>
      <c r="AC844" s="6">
        <v>43755</v>
      </c>
      <c r="AD844" s="5" t="s">
        <v>42</v>
      </c>
      <c r="AE844" s="5" t="s">
        <v>4491</v>
      </c>
      <c r="AF844" s="5">
        <v>0</v>
      </c>
    </row>
    <row r="845" spans="1:32" ht="27.95" x14ac:dyDescent="0.3">
      <c r="A845" s="3">
        <v>839</v>
      </c>
      <c r="B845" s="3" t="str">
        <f>"202000084351"</f>
        <v>202000084351</v>
      </c>
      <c r="C845" s="3" t="str">
        <f>"8666"</f>
        <v>8666</v>
      </c>
      <c r="D845" s="3" t="s">
        <v>4492</v>
      </c>
      <c r="E845" s="3">
        <v>20454655274</v>
      </c>
      <c r="F845" s="3" t="s">
        <v>4493</v>
      </c>
      <c r="G845" s="3" t="s">
        <v>4494</v>
      </c>
      <c r="H845" s="3" t="s">
        <v>935</v>
      </c>
      <c r="I845" s="3" t="s">
        <v>1133</v>
      </c>
      <c r="J845" s="3" t="s">
        <v>1133</v>
      </c>
      <c r="K845" s="3" t="s">
        <v>37</v>
      </c>
      <c r="L845" s="3" t="s">
        <v>4495</v>
      </c>
      <c r="M845" s="3" t="s">
        <v>4496</v>
      </c>
      <c r="N845" s="3" t="s">
        <v>4497</v>
      </c>
      <c r="O845" s="3" t="s">
        <v>4497</v>
      </c>
      <c r="P845" s="3" t="s">
        <v>825</v>
      </c>
      <c r="Q845" s="3" t="s">
        <v>248</v>
      </c>
      <c r="R845" s="3" t="s">
        <v>78</v>
      </c>
      <c r="S845" s="3"/>
      <c r="T845" s="3"/>
      <c r="U845" s="3"/>
      <c r="V845" s="3"/>
      <c r="W845" s="3"/>
      <c r="X845" s="3"/>
      <c r="Y845" s="3"/>
      <c r="Z845" s="3"/>
      <c r="AA845" s="3">
        <v>6979</v>
      </c>
      <c r="AB845" s="3">
        <v>6200</v>
      </c>
      <c r="AC845" s="4">
        <v>44030</v>
      </c>
      <c r="AD845" s="3" t="s">
        <v>42</v>
      </c>
      <c r="AE845" s="3" t="s">
        <v>4136</v>
      </c>
      <c r="AF845" s="3">
        <v>720</v>
      </c>
    </row>
    <row r="846" spans="1:32" x14ac:dyDescent="0.3">
      <c r="A846" s="5">
        <v>840</v>
      </c>
      <c r="B846" s="5" t="str">
        <f>"202000053584"</f>
        <v>202000053584</v>
      </c>
      <c r="C846" s="5" t="str">
        <f>"96327"</f>
        <v>96327</v>
      </c>
      <c r="D846" s="5" t="s">
        <v>4498</v>
      </c>
      <c r="E846" s="5">
        <v>20487519112</v>
      </c>
      <c r="F846" s="5" t="s">
        <v>4499</v>
      </c>
      <c r="G846" s="5" t="s">
        <v>4500</v>
      </c>
      <c r="H846" s="5" t="s">
        <v>436</v>
      </c>
      <c r="I846" s="5" t="s">
        <v>3122</v>
      </c>
      <c r="J846" s="5" t="s">
        <v>3123</v>
      </c>
      <c r="K846" s="5" t="s">
        <v>37</v>
      </c>
      <c r="L846" s="5" t="s">
        <v>1948</v>
      </c>
      <c r="M846" s="5" t="s">
        <v>4501</v>
      </c>
      <c r="N846" s="5" t="s">
        <v>3124</v>
      </c>
      <c r="O846" s="5" t="s">
        <v>4502</v>
      </c>
      <c r="P846" s="5" t="s">
        <v>4503</v>
      </c>
      <c r="Q846" s="5" t="s">
        <v>4504</v>
      </c>
      <c r="R846" s="5" t="s">
        <v>78</v>
      </c>
      <c r="S846" s="5"/>
      <c r="T846" s="5"/>
      <c r="U846" s="5"/>
      <c r="V846" s="5"/>
      <c r="W846" s="5"/>
      <c r="X846" s="5"/>
      <c r="Y846" s="5"/>
      <c r="Z846" s="5"/>
      <c r="AA846" s="5">
        <v>17280</v>
      </c>
      <c r="AB846" s="5">
        <v>3200</v>
      </c>
      <c r="AC846" s="6">
        <v>43952</v>
      </c>
      <c r="AD846" s="5" t="s">
        <v>42</v>
      </c>
      <c r="AE846" s="5" t="s">
        <v>3749</v>
      </c>
      <c r="AF846" s="5">
        <v>0</v>
      </c>
    </row>
    <row r="847" spans="1:32" x14ac:dyDescent="0.3">
      <c r="A847" s="3">
        <v>841</v>
      </c>
      <c r="B847" s="3" t="str">
        <f>"201900162225"</f>
        <v>201900162225</v>
      </c>
      <c r="C847" s="3" t="str">
        <f>"18474"</f>
        <v>18474</v>
      </c>
      <c r="D847" s="3" t="s">
        <v>4505</v>
      </c>
      <c r="E847" s="3">
        <v>20328495474</v>
      </c>
      <c r="F847" s="3" t="s">
        <v>4506</v>
      </c>
      <c r="G847" s="3" t="s">
        <v>4507</v>
      </c>
      <c r="H847" s="3" t="s">
        <v>89</v>
      </c>
      <c r="I847" s="3" t="s">
        <v>89</v>
      </c>
      <c r="J847" s="3" t="s">
        <v>89</v>
      </c>
      <c r="K847" s="3" t="s">
        <v>37</v>
      </c>
      <c r="L847" s="3" t="s">
        <v>161</v>
      </c>
      <c r="M847" s="3" t="s">
        <v>263</v>
      </c>
      <c r="N847" s="3" t="s">
        <v>63</v>
      </c>
      <c r="O847" s="3" t="s">
        <v>102</v>
      </c>
      <c r="P847" s="3" t="s">
        <v>669</v>
      </c>
      <c r="Q847" s="3" t="s">
        <v>669</v>
      </c>
      <c r="R847" s="3" t="s">
        <v>78</v>
      </c>
      <c r="S847" s="3"/>
      <c r="T847" s="3"/>
      <c r="U847" s="3"/>
      <c r="V847" s="3"/>
      <c r="W847" s="3"/>
      <c r="X847" s="3"/>
      <c r="Y847" s="3"/>
      <c r="Z847" s="3"/>
      <c r="AA847" s="3">
        <v>36000</v>
      </c>
      <c r="AB847" s="3">
        <v>3200</v>
      </c>
      <c r="AC847" s="4">
        <v>43746</v>
      </c>
      <c r="AD847" s="3" t="s">
        <v>42</v>
      </c>
      <c r="AE847" s="3" t="s">
        <v>4508</v>
      </c>
      <c r="AF847" s="3">
        <v>0</v>
      </c>
    </row>
    <row r="848" spans="1:32" ht="27.95" x14ac:dyDescent="0.3">
      <c r="A848" s="5">
        <v>842</v>
      </c>
      <c r="B848" s="5" t="str">
        <f>"201800123121"</f>
        <v>201800123121</v>
      </c>
      <c r="C848" s="5" t="str">
        <f>"8386"</f>
        <v>8386</v>
      </c>
      <c r="D848" s="5" t="s">
        <v>4509</v>
      </c>
      <c r="E848" s="5">
        <v>20497746648</v>
      </c>
      <c r="F848" s="5" t="s">
        <v>4510</v>
      </c>
      <c r="G848" s="5" t="s">
        <v>4511</v>
      </c>
      <c r="H848" s="5" t="s">
        <v>89</v>
      </c>
      <c r="I848" s="5" t="s">
        <v>89</v>
      </c>
      <c r="J848" s="5" t="s">
        <v>89</v>
      </c>
      <c r="K848" s="5" t="s">
        <v>37</v>
      </c>
      <c r="L848" s="5" t="s">
        <v>4512</v>
      </c>
      <c r="M848" s="5" t="s">
        <v>247</v>
      </c>
      <c r="N848" s="5" t="s">
        <v>4513</v>
      </c>
      <c r="O848" s="5" t="s">
        <v>248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>
        <v>21000</v>
      </c>
      <c r="AB848" s="5">
        <v>3000</v>
      </c>
      <c r="AC848" s="6">
        <v>43315</v>
      </c>
      <c r="AD848" s="5" t="s">
        <v>42</v>
      </c>
      <c r="AE848" s="5" t="s">
        <v>4514</v>
      </c>
      <c r="AF848" s="5">
        <v>0</v>
      </c>
    </row>
    <row r="849" spans="1:32" ht="27.95" x14ac:dyDescent="0.3">
      <c r="A849" s="3">
        <v>843</v>
      </c>
      <c r="B849" s="3" t="str">
        <f>"201900204066"</f>
        <v>201900204066</v>
      </c>
      <c r="C849" s="3" t="str">
        <f>"123805"</f>
        <v>123805</v>
      </c>
      <c r="D849" s="3" t="s">
        <v>4515</v>
      </c>
      <c r="E849" s="3">
        <v>20127765279</v>
      </c>
      <c r="F849" s="3" t="s">
        <v>1115</v>
      </c>
      <c r="G849" s="3" t="s">
        <v>4516</v>
      </c>
      <c r="H849" s="3" t="s">
        <v>58</v>
      </c>
      <c r="I849" s="3" t="s">
        <v>58</v>
      </c>
      <c r="J849" s="3" t="s">
        <v>403</v>
      </c>
      <c r="K849" s="3" t="s">
        <v>37</v>
      </c>
      <c r="L849" s="3" t="s">
        <v>72</v>
      </c>
      <c r="M849" s="3" t="s">
        <v>4517</v>
      </c>
      <c r="N849" s="3" t="s">
        <v>847</v>
      </c>
      <c r="O849" s="3" t="s">
        <v>103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>
        <v>22000</v>
      </c>
      <c r="AB849" s="3">
        <v>2500</v>
      </c>
      <c r="AC849" s="4">
        <v>43811</v>
      </c>
      <c r="AD849" s="3" t="s">
        <v>42</v>
      </c>
      <c r="AE849" s="3" t="s">
        <v>279</v>
      </c>
      <c r="AF849" s="3">
        <v>0</v>
      </c>
    </row>
    <row r="850" spans="1:32" ht="27.95" x14ac:dyDescent="0.3">
      <c r="A850" s="5">
        <v>844</v>
      </c>
      <c r="B850" s="5" t="str">
        <f>"201700201205"</f>
        <v>201700201205</v>
      </c>
      <c r="C850" s="5" t="str">
        <f>"16618"</f>
        <v>16618</v>
      </c>
      <c r="D850" s="5" t="s">
        <v>4518</v>
      </c>
      <c r="E850" s="5">
        <v>20552147279</v>
      </c>
      <c r="F850" s="5" t="s">
        <v>4519</v>
      </c>
      <c r="G850" s="5" t="s">
        <v>4520</v>
      </c>
      <c r="H850" s="5" t="s">
        <v>58</v>
      </c>
      <c r="I850" s="5" t="s">
        <v>58</v>
      </c>
      <c r="J850" s="5" t="s">
        <v>1756</v>
      </c>
      <c r="K850" s="5" t="s">
        <v>37</v>
      </c>
      <c r="L850" s="5" t="s">
        <v>4521</v>
      </c>
      <c r="M850" s="5" t="s">
        <v>4522</v>
      </c>
      <c r="N850" s="5" t="s">
        <v>63</v>
      </c>
      <c r="O850" s="5" t="s">
        <v>77</v>
      </c>
      <c r="P850" s="5" t="s">
        <v>63</v>
      </c>
      <c r="Q850" s="5" t="s">
        <v>381</v>
      </c>
      <c r="R850" s="5"/>
      <c r="S850" s="5"/>
      <c r="T850" s="5"/>
      <c r="U850" s="5"/>
      <c r="V850" s="5"/>
      <c r="W850" s="5"/>
      <c r="X850" s="5"/>
      <c r="Y850" s="5"/>
      <c r="Z850" s="5"/>
      <c r="AA850" s="5">
        <v>24000</v>
      </c>
      <c r="AB850" s="5">
        <v>2000</v>
      </c>
      <c r="AC850" s="6">
        <v>43070</v>
      </c>
      <c r="AD850" s="5" t="s">
        <v>42</v>
      </c>
      <c r="AE850" s="5" t="s">
        <v>4523</v>
      </c>
      <c r="AF850" s="5">
        <v>720</v>
      </c>
    </row>
    <row r="851" spans="1:32" ht="27.95" x14ac:dyDescent="0.3">
      <c r="A851" s="3">
        <v>845</v>
      </c>
      <c r="B851" s="3" t="str">
        <f>"201800006158"</f>
        <v>201800006158</v>
      </c>
      <c r="C851" s="3" t="str">
        <f>"83031"</f>
        <v>83031</v>
      </c>
      <c r="D851" s="3" t="s">
        <v>4524</v>
      </c>
      <c r="E851" s="3">
        <v>20602076645</v>
      </c>
      <c r="F851" s="3" t="s">
        <v>4525</v>
      </c>
      <c r="G851" s="3" t="s">
        <v>4526</v>
      </c>
      <c r="H851" s="3" t="s">
        <v>36</v>
      </c>
      <c r="I851" s="3" t="s">
        <v>36</v>
      </c>
      <c r="J851" s="3" t="s">
        <v>4527</v>
      </c>
      <c r="K851" s="3" t="s">
        <v>37</v>
      </c>
      <c r="L851" s="3" t="s">
        <v>1001</v>
      </c>
      <c r="M851" s="3" t="s">
        <v>4528</v>
      </c>
      <c r="N851" s="3" t="s">
        <v>4529</v>
      </c>
      <c r="O851" s="3" t="s">
        <v>1001</v>
      </c>
      <c r="P851" s="3" t="s">
        <v>248</v>
      </c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>
        <v>11432</v>
      </c>
      <c r="AB851" s="3">
        <v>3000</v>
      </c>
      <c r="AC851" s="4">
        <v>43118</v>
      </c>
      <c r="AD851" s="3" t="s">
        <v>42</v>
      </c>
      <c r="AE851" s="3" t="s">
        <v>1263</v>
      </c>
      <c r="AF851" s="3">
        <v>0</v>
      </c>
    </row>
    <row r="852" spans="1:32" ht="27.95" x14ac:dyDescent="0.3">
      <c r="A852" s="5">
        <v>846</v>
      </c>
      <c r="B852" s="5" t="str">
        <f>"201900025156"</f>
        <v>201900025156</v>
      </c>
      <c r="C852" s="5" t="str">
        <f>"140494"</f>
        <v>140494</v>
      </c>
      <c r="D852" s="5" t="s">
        <v>4530</v>
      </c>
      <c r="E852" s="5">
        <v>20602704956</v>
      </c>
      <c r="F852" s="5" t="s">
        <v>4531</v>
      </c>
      <c r="G852" s="5" t="s">
        <v>4532</v>
      </c>
      <c r="H852" s="5" t="s">
        <v>116</v>
      </c>
      <c r="I852" s="5" t="s">
        <v>2324</v>
      </c>
      <c r="J852" s="5" t="s">
        <v>4533</v>
      </c>
      <c r="K852" s="5" t="s">
        <v>37</v>
      </c>
      <c r="L852" s="5" t="s">
        <v>166</v>
      </c>
      <c r="M852" s="5" t="s">
        <v>3663</v>
      </c>
      <c r="N852" s="5" t="s">
        <v>2478</v>
      </c>
      <c r="O852" s="5" t="s">
        <v>94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>
        <v>19500</v>
      </c>
      <c r="AB852" s="5">
        <v>5000</v>
      </c>
      <c r="AC852" s="6">
        <v>43515</v>
      </c>
      <c r="AD852" s="5" t="s">
        <v>42</v>
      </c>
      <c r="AE852" s="5" t="s">
        <v>1096</v>
      </c>
      <c r="AF852" s="5">
        <v>720</v>
      </c>
    </row>
    <row r="853" spans="1:32" ht="27.95" x14ac:dyDescent="0.3">
      <c r="A853" s="3">
        <v>847</v>
      </c>
      <c r="B853" s="3" t="str">
        <f>"201900203992"</f>
        <v>201900203992</v>
      </c>
      <c r="C853" s="3" t="str">
        <f>"39575"</f>
        <v>39575</v>
      </c>
      <c r="D853" s="3" t="s">
        <v>4534</v>
      </c>
      <c r="E853" s="3">
        <v>20127765279</v>
      </c>
      <c r="F853" s="3" t="s">
        <v>1115</v>
      </c>
      <c r="G853" s="3" t="s">
        <v>4535</v>
      </c>
      <c r="H853" s="3" t="s">
        <v>47</v>
      </c>
      <c r="I853" s="3" t="s">
        <v>47</v>
      </c>
      <c r="J853" s="3" t="s">
        <v>48</v>
      </c>
      <c r="K853" s="3" t="s">
        <v>37</v>
      </c>
      <c r="L853" s="3" t="s">
        <v>4536</v>
      </c>
      <c r="M853" s="3" t="s">
        <v>1897</v>
      </c>
      <c r="N853" s="3" t="s">
        <v>174</v>
      </c>
      <c r="O853" s="3" t="s">
        <v>65</v>
      </c>
      <c r="P853" s="3" t="s">
        <v>120</v>
      </c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>
        <v>20000</v>
      </c>
      <c r="AB853" s="3">
        <v>3500</v>
      </c>
      <c r="AC853" s="4">
        <v>43808</v>
      </c>
      <c r="AD853" s="3" t="s">
        <v>42</v>
      </c>
      <c r="AE853" s="3" t="s">
        <v>279</v>
      </c>
      <c r="AF853" s="3">
        <v>720</v>
      </c>
    </row>
    <row r="854" spans="1:32" ht="27.95" x14ac:dyDescent="0.3">
      <c r="A854" s="5">
        <v>848</v>
      </c>
      <c r="B854" s="5" t="str">
        <f>"201900174538"</f>
        <v>201900174538</v>
      </c>
      <c r="C854" s="5" t="str">
        <f>"8705"</f>
        <v>8705</v>
      </c>
      <c r="D854" s="5" t="s">
        <v>4537</v>
      </c>
      <c r="E854" s="5">
        <v>20602359981</v>
      </c>
      <c r="F854" s="5" t="s">
        <v>4538</v>
      </c>
      <c r="G854" s="5" t="s">
        <v>4539</v>
      </c>
      <c r="H854" s="5" t="s">
        <v>58</v>
      </c>
      <c r="I854" s="5" t="s">
        <v>58</v>
      </c>
      <c r="J854" s="5" t="s">
        <v>58</v>
      </c>
      <c r="K854" s="5" t="s">
        <v>37</v>
      </c>
      <c r="L854" s="5" t="s">
        <v>63</v>
      </c>
      <c r="M854" s="5" t="s">
        <v>161</v>
      </c>
      <c r="N854" s="5" t="s">
        <v>77</v>
      </c>
      <c r="O854" s="5" t="s">
        <v>263</v>
      </c>
      <c r="P854" s="5" t="s">
        <v>263</v>
      </c>
      <c r="Q854" s="5" t="s">
        <v>398</v>
      </c>
      <c r="R854" s="5" t="s">
        <v>398</v>
      </c>
      <c r="S854" s="5" t="s">
        <v>381</v>
      </c>
      <c r="T854" s="5"/>
      <c r="U854" s="5"/>
      <c r="V854" s="5"/>
      <c r="W854" s="5"/>
      <c r="X854" s="5"/>
      <c r="Y854" s="5"/>
      <c r="Z854" s="5"/>
      <c r="AA854" s="5">
        <v>32000</v>
      </c>
      <c r="AB854" s="5">
        <v>2000</v>
      </c>
      <c r="AC854" s="6">
        <v>43776</v>
      </c>
      <c r="AD854" s="5" t="s">
        <v>42</v>
      </c>
      <c r="AE854" s="5" t="s">
        <v>4540</v>
      </c>
      <c r="AF854" s="5">
        <v>0</v>
      </c>
    </row>
    <row r="855" spans="1:32" ht="27.95" x14ac:dyDescent="0.3">
      <c r="A855" s="3">
        <v>849</v>
      </c>
      <c r="B855" s="3" t="str">
        <f>"201700098487"</f>
        <v>201700098487</v>
      </c>
      <c r="C855" s="3" t="str">
        <f>"14552"</f>
        <v>14552</v>
      </c>
      <c r="D855" s="3" t="s">
        <v>4541</v>
      </c>
      <c r="E855" s="3">
        <v>20275873480</v>
      </c>
      <c r="F855" s="3" t="s">
        <v>695</v>
      </c>
      <c r="G855" s="3" t="s">
        <v>4542</v>
      </c>
      <c r="H855" s="3" t="s">
        <v>219</v>
      </c>
      <c r="I855" s="3" t="s">
        <v>220</v>
      </c>
      <c r="J855" s="3" t="s">
        <v>220</v>
      </c>
      <c r="K855" s="3" t="s">
        <v>37</v>
      </c>
      <c r="L855" s="3" t="s">
        <v>411</v>
      </c>
      <c r="M855" s="3" t="s">
        <v>411</v>
      </c>
      <c r="N855" s="3" t="s">
        <v>411</v>
      </c>
      <c r="O855" s="3" t="s">
        <v>411</v>
      </c>
      <c r="P855" s="3" t="s">
        <v>212</v>
      </c>
      <c r="Q855" s="3" t="s">
        <v>4543</v>
      </c>
      <c r="R855" s="3" t="s">
        <v>319</v>
      </c>
      <c r="S855" s="3" t="s">
        <v>94</v>
      </c>
      <c r="T855" s="3"/>
      <c r="U855" s="3"/>
      <c r="V855" s="3"/>
      <c r="W855" s="3"/>
      <c r="X855" s="3"/>
      <c r="Y855" s="3"/>
      <c r="Z855" s="3"/>
      <c r="AA855" s="3">
        <v>26641</v>
      </c>
      <c r="AB855" s="3">
        <v>5000</v>
      </c>
      <c r="AC855" s="4">
        <v>42918</v>
      </c>
      <c r="AD855" s="3" t="s">
        <v>42</v>
      </c>
      <c r="AE855" s="3" t="s">
        <v>699</v>
      </c>
      <c r="AF855" s="3">
        <v>0</v>
      </c>
    </row>
    <row r="856" spans="1:32" ht="27.95" x14ac:dyDescent="0.3">
      <c r="A856" s="5">
        <v>850</v>
      </c>
      <c r="B856" s="5" t="str">
        <f>"201800210679"</f>
        <v>201800210679</v>
      </c>
      <c r="C856" s="5" t="str">
        <f>"120129"</f>
        <v>120129</v>
      </c>
      <c r="D856" s="5" t="s">
        <v>4544</v>
      </c>
      <c r="E856" s="5">
        <v>20555926597</v>
      </c>
      <c r="F856" s="5" t="s">
        <v>4545</v>
      </c>
      <c r="G856" s="5" t="s">
        <v>4546</v>
      </c>
      <c r="H856" s="5" t="s">
        <v>47</v>
      </c>
      <c r="I856" s="5" t="s">
        <v>47</v>
      </c>
      <c r="J856" s="5" t="s">
        <v>83</v>
      </c>
      <c r="K856" s="5" t="s">
        <v>37</v>
      </c>
      <c r="L856" s="5" t="s">
        <v>4547</v>
      </c>
      <c r="M856" s="5" t="s">
        <v>174</v>
      </c>
      <c r="N856" s="5" t="s">
        <v>171</v>
      </c>
      <c r="O856" s="5" t="s">
        <v>172</v>
      </c>
      <c r="P856" s="5" t="s">
        <v>78</v>
      </c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>
        <v>16000</v>
      </c>
      <c r="AB856" s="5">
        <v>3200</v>
      </c>
      <c r="AC856" s="6">
        <v>43460</v>
      </c>
      <c r="AD856" s="5" t="s">
        <v>42</v>
      </c>
      <c r="AE856" s="5" t="s">
        <v>4548</v>
      </c>
      <c r="AF856" s="5">
        <v>0</v>
      </c>
    </row>
    <row r="857" spans="1:32" ht="27.95" x14ac:dyDescent="0.3">
      <c r="A857" s="3">
        <v>851</v>
      </c>
      <c r="B857" s="3" t="str">
        <f>"201900210077"</f>
        <v>201900210077</v>
      </c>
      <c r="C857" s="3" t="str">
        <f>"63634"</f>
        <v>63634</v>
      </c>
      <c r="D857" s="3" t="s">
        <v>4549</v>
      </c>
      <c r="E857" s="3">
        <v>20518633482</v>
      </c>
      <c r="F857" s="3" t="s">
        <v>839</v>
      </c>
      <c r="G857" s="3" t="s">
        <v>4550</v>
      </c>
      <c r="H857" s="3" t="s">
        <v>58</v>
      </c>
      <c r="I857" s="3" t="s">
        <v>373</v>
      </c>
      <c r="J857" s="3" t="s">
        <v>374</v>
      </c>
      <c r="K857" s="3" t="s">
        <v>37</v>
      </c>
      <c r="L857" s="3" t="s">
        <v>4176</v>
      </c>
      <c r="M857" s="3" t="s">
        <v>459</v>
      </c>
      <c r="N857" s="3" t="s">
        <v>381</v>
      </c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>
        <v>6000</v>
      </c>
      <c r="AB857" s="3">
        <v>2000</v>
      </c>
      <c r="AC857" s="4">
        <v>43818</v>
      </c>
      <c r="AD857" s="3" t="s">
        <v>42</v>
      </c>
      <c r="AE857" s="3" t="s">
        <v>842</v>
      </c>
      <c r="AF857" s="3">
        <v>720</v>
      </c>
    </row>
    <row r="858" spans="1:32" ht="27.95" x14ac:dyDescent="0.3">
      <c r="A858" s="5">
        <v>852</v>
      </c>
      <c r="B858" s="5" t="str">
        <f>"201800110946"</f>
        <v>201800110946</v>
      </c>
      <c r="C858" s="5" t="str">
        <f>"60754"</f>
        <v>60754</v>
      </c>
      <c r="D858" s="5" t="s">
        <v>4551</v>
      </c>
      <c r="E858" s="5">
        <v>20445489761</v>
      </c>
      <c r="F858" s="5" t="s">
        <v>4552</v>
      </c>
      <c r="G858" s="5" t="s">
        <v>4553</v>
      </c>
      <c r="H858" s="5" t="s">
        <v>116</v>
      </c>
      <c r="I858" s="5" t="s">
        <v>339</v>
      </c>
      <c r="J858" s="5" t="s">
        <v>612</v>
      </c>
      <c r="K858" s="5" t="s">
        <v>37</v>
      </c>
      <c r="L858" s="5" t="s">
        <v>172</v>
      </c>
      <c r="M858" s="5" t="s">
        <v>172</v>
      </c>
      <c r="N858" s="5" t="s">
        <v>1969</v>
      </c>
      <c r="O858" s="5" t="s">
        <v>4554</v>
      </c>
      <c r="P858" s="5" t="s">
        <v>78</v>
      </c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>
        <v>16000</v>
      </c>
      <c r="AB858" s="5">
        <v>3200</v>
      </c>
      <c r="AC858" s="6">
        <v>43291</v>
      </c>
      <c r="AD858" s="5" t="s">
        <v>42</v>
      </c>
      <c r="AE858" s="5" t="s">
        <v>4555</v>
      </c>
      <c r="AF858" s="5">
        <v>480</v>
      </c>
    </row>
    <row r="859" spans="1:32" ht="27.95" x14ac:dyDescent="0.3">
      <c r="A859" s="3">
        <v>853</v>
      </c>
      <c r="B859" s="3" t="str">
        <f>"201900010401"</f>
        <v>201900010401</v>
      </c>
      <c r="C859" s="3" t="str">
        <f>"33372"</f>
        <v>33372</v>
      </c>
      <c r="D859" s="3" t="s">
        <v>4556</v>
      </c>
      <c r="E859" s="3">
        <v>20395012445</v>
      </c>
      <c r="F859" s="3" t="s">
        <v>4557</v>
      </c>
      <c r="G859" s="3" t="s">
        <v>4558</v>
      </c>
      <c r="H859" s="3" t="s">
        <v>36</v>
      </c>
      <c r="I859" s="3" t="s">
        <v>409</v>
      </c>
      <c r="J859" s="3" t="s">
        <v>738</v>
      </c>
      <c r="K859" s="3" t="s">
        <v>37</v>
      </c>
      <c r="L859" s="3" t="s">
        <v>51</v>
      </c>
      <c r="M859" s="3" t="s">
        <v>102</v>
      </c>
      <c r="N859" s="3" t="s">
        <v>49</v>
      </c>
      <c r="O859" s="3" t="s">
        <v>51</v>
      </c>
      <c r="P859" s="3" t="s">
        <v>248</v>
      </c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>
        <v>20000</v>
      </c>
      <c r="AB859" s="3">
        <v>3000</v>
      </c>
      <c r="AC859" s="4">
        <v>43488</v>
      </c>
      <c r="AD859" s="3" t="s">
        <v>42</v>
      </c>
      <c r="AE859" s="3" t="s">
        <v>4559</v>
      </c>
      <c r="AF859" s="3">
        <v>0</v>
      </c>
    </row>
    <row r="860" spans="1:32" ht="27.95" x14ac:dyDescent="0.3">
      <c r="A860" s="5">
        <v>854</v>
      </c>
      <c r="B860" s="5" t="str">
        <f>"201900026156"</f>
        <v>201900026156</v>
      </c>
      <c r="C860" s="5" t="str">
        <f>"98127"</f>
        <v>98127</v>
      </c>
      <c r="D860" s="5" t="s">
        <v>4560</v>
      </c>
      <c r="E860" s="5">
        <v>20603710950</v>
      </c>
      <c r="F860" s="5" t="s">
        <v>4561</v>
      </c>
      <c r="G860" s="5" t="s">
        <v>4562</v>
      </c>
      <c r="H860" s="5" t="s">
        <v>532</v>
      </c>
      <c r="I860" s="5" t="s">
        <v>714</v>
      </c>
      <c r="J860" s="5" t="s">
        <v>714</v>
      </c>
      <c r="K860" s="5" t="s">
        <v>37</v>
      </c>
      <c r="L860" s="5" t="s">
        <v>1739</v>
      </c>
      <c r="M860" s="5" t="s">
        <v>4563</v>
      </c>
      <c r="N860" s="5" t="s">
        <v>94</v>
      </c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>
        <v>15900</v>
      </c>
      <c r="AB860" s="5">
        <v>5000</v>
      </c>
      <c r="AC860" s="6">
        <v>43522</v>
      </c>
      <c r="AD860" s="5" t="s">
        <v>42</v>
      </c>
      <c r="AE860" s="5" t="s">
        <v>4564</v>
      </c>
      <c r="AF860" s="5">
        <v>0</v>
      </c>
    </row>
    <row r="861" spans="1:32" x14ac:dyDescent="0.3">
      <c r="A861" s="3">
        <v>855</v>
      </c>
      <c r="B861" s="3" t="str">
        <f>"201600031626"</f>
        <v>201600031626</v>
      </c>
      <c r="C861" s="3" t="str">
        <f>"14539"</f>
        <v>14539</v>
      </c>
      <c r="D861" s="3" t="s">
        <v>4565</v>
      </c>
      <c r="E861" s="3">
        <v>10210684072</v>
      </c>
      <c r="F861" s="3" t="s">
        <v>4566</v>
      </c>
      <c r="G861" s="3" t="s">
        <v>4567</v>
      </c>
      <c r="H861" s="3" t="s">
        <v>108</v>
      </c>
      <c r="I861" s="3" t="s">
        <v>475</v>
      </c>
      <c r="J861" s="3" t="s">
        <v>475</v>
      </c>
      <c r="K861" s="3" t="s">
        <v>37</v>
      </c>
      <c r="L861" s="3" t="s">
        <v>4568</v>
      </c>
      <c r="M861" s="3" t="s">
        <v>4569</v>
      </c>
      <c r="N861" s="3" t="s">
        <v>4570</v>
      </c>
      <c r="O861" s="3" t="s">
        <v>4571</v>
      </c>
      <c r="P861" s="3" t="s">
        <v>4570</v>
      </c>
      <c r="Q861" s="3" t="s">
        <v>4572</v>
      </c>
      <c r="R861" s="3" t="s">
        <v>94</v>
      </c>
      <c r="S861" s="3"/>
      <c r="T861" s="3"/>
      <c r="U861" s="3"/>
      <c r="V861" s="3"/>
      <c r="W861" s="3"/>
      <c r="X861" s="3"/>
      <c r="Y861" s="3"/>
      <c r="Z861" s="3"/>
      <c r="AA861" s="3">
        <v>27365</v>
      </c>
      <c r="AB861" s="3">
        <v>5000</v>
      </c>
      <c r="AC861" s="4">
        <v>42436</v>
      </c>
      <c r="AD861" s="3" t="s">
        <v>42</v>
      </c>
      <c r="AE861" s="3" t="s">
        <v>4566</v>
      </c>
      <c r="AF861" s="3">
        <v>0</v>
      </c>
    </row>
    <row r="862" spans="1:32" x14ac:dyDescent="0.3">
      <c r="A862" s="5">
        <v>856</v>
      </c>
      <c r="B862" s="5" t="str">
        <f>"202000056203"</f>
        <v>202000056203</v>
      </c>
      <c r="C862" s="5" t="str">
        <f>"8873"</f>
        <v>8873</v>
      </c>
      <c r="D862" s="5" t="s">
        <v>4573</v>
      </c>
      <c r="E862" s="5">
        <v>20316094539</v>
      </c>
      <c r="F862" s="5" t="s">
        <v>4574</v>
      </c>
      <c r="G862" s="5" t="s">
        <v>4575</v>
      </c>
      <c r="H862" s="5" t="s">
        <v>187</v>
      </c>
      <c r="I862" s="5" t="s">
        <v>2570</v>
      </c>
      <c r="J862" s="5" t="s">
        <v>2570</v>
      </c>
      <c r="K862" s="5" t="s">
        <v>37</v>
      </c>
      <c r="L862" s="5" t="s">
        <v>262</v>
      </c>
      <c r="M862" s="5" t="s">
        <v>238</v>
      </c>
      <c r="N862" s="5" t="s">
        <v>278</v>
      </c>
      <c r="O862" s="5" t="s">
        <v>63</v>
      </c>
      <c r="P862" s="5" t="s">
        <v>862</v>
      </c>
      <c r="Q862" s="5" t="s">
        <v>1279</v>
      </c>
      <c r="R862" s="5" t="s">
        <v>94</v>
      </c>
      <c r="S862" s="5"/>
      <c r="T862" s="5"/>
      <c r="U862" s="5"/>
      <c r="V862" s="5"/>
      <c r="W862" s="5"/>
      <c r="X862" s="5"/>
      <c r="Y862" s="5"/>
      <c r="Z862" s="5"/>
      <c r="AA862" s="5">
        <v>25800</v>
      </c>
      <c r="AB862" s="5">
        <v>5000</v>
      </c>
      <c r="AC862" s="6">
        <v>43964</v>
      </c>
      <c r="AD862" s="5" t="s">
        <v>42</v>
      </c>
      <c r="AE862" s="5" t="s">
        <v>4576</v>
      </c>
      <c r="AF862" s="5">
        <v>0</v>
      </c>
    </row>
    <row r="863" spans="1:32" ht="27.95" x14ac:dyDescent="0.3">
      <c r="A863" s="3">
        <v>857</v>
      </c>
      <c r="B863" s="3" t="str">
        <f>"201900185142"</f>
        <v>201900185142</v>
      </c>
      <c r="C863" s="3" t="str">
        <f>"9424"</f>
        <v>9424</v>
      </c>
      <c r="D863" s="3" t="s">
        <v>4577</v>
      </c>
      <c r="E863" s="3">
        <v>20109980855</v>
      </c>
      <c r="F863" s="3" t="s">
        <v>4578</v>
      </c>
      <c r="G863" s="3" t="s">
        <v>4579</v>
      </c>
      <c r="H863" s="3" t="s">
        <v>58</v>
      </c>
      <c r="I863" s="3" t="s">
        <v>58</v>
      </c>
      <c r="J863" s="3" t="s">
        <v>1058</v>
      </c>
      <c r="K863" s="3" t="s">
        <v>37</v>
      </c>
      <c r="L863" s="3" t="s">
        <v>166</v>
      </c>
      <c r="M863" s="3" t="s">
        <v>2295</v>
      </c>
      <c r="N863" s="3" t="s">
        <v>78</v>
      </c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>
        <v>20000</v>
      </c>
      <c r="AB863" s="3">
        <v>3200</v>
      </c>
      <c r="AC863" s="4">
        <v>43788</v>
      </c>
      <c r="AD863" s="3" t="s">
        <v>42</v>
      </c>
      <c r="AE863" s="3" t="s">
        <v>4580</v>
      </c>
      <c r="AF863" s="3">
        <v>0</v>
      </c>
    </row>
    <row r="864" spans="1:32" x14ac:dyDescent="0.3">
      <c r="A864" s="5">
        <v>858</v>
      </c>
      <c r="B864" s="5" t="str">
        <f>"202000070641"</f>
        <v>202000070641</v>
      </c>
      <c r="C864" s="5" t="str">
        <f>"84380"</f>
        <v>84380</v>
      </c>
      <c r="D864" s="5" t="s">
        <v>4581</v>
      </c>
      <c r="E864" s="5">
        <v>20602544002</v>
      </c>
      <c r="F864" s="5" t="s">
        <v>4582</v>
      </c>
      <c r="G864" s="5" t="s">
        <v>4583</v>
      </c>
      <c r="H864" s="5" t="s">
        <v>638</v>
      </c>
      <c r="I864" s="5" t="s">
        <v>639</v>
      </c>
      <c r="J864" s="5" t="s">
        <v>949</v>
      </c>
      <c r="K864" s="5" t="s">
        <v>37</v>
      </c>
      <c r="L864" s="5" t="s">
        <v>4584</v>
      </c>
      <c r="M864" s="5" t="s">
        <v>4585</v>
      </c>
      <c r="N864" s="5" t="s">
        <v>248</v>
      </c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>
        <v>12600</v>
      </c>
      <c r="AB864" s="5">
        <v>3000</v>
      </c>
      <c r="AC864" s="6">
        <v>44010</v>
      </c>
      <c r="AD864" s="5" t="s">
        <v>42</v>
      </c>
      <c r="AE864" s="5" t="s">
        <v>4586</v>
      </c>
      <c r="AF864" s="5">
        <v>0</v>
      </c>
    </row>
    <row r="865" spans="1:32" x14ac:dyDescent="0.3">
      <c r="A865" s="3">
        <v>859</v>
      </c>
      <c r="B865" s="3" t="str">
        <f>"201900073259"</f>
        <v>201900073259</v>
      </c>
      <c r="C865" s="3" t="str">
        <f>"19903"</f>
        <v>19903</v>
      </c>
      <c r="D865" s="3" t="s">
        <v>4587</v>
      </c>
      <c r="E865" s="3">
        <v>20568468750</v>
      </c>
      <c r="F865" s="3" t="s">
        <v>4588</v>
      </c>
      <c r="G865" s="3" t="s">
        <v>4589</v>
      </c>
      <c r="H865" s="3" t="s">
        <v>108</v>
      </c>
      <c r="I865" s="3" t="s">
        <v>647</v>
      </c>
      <c r="J865" s="3" t="s">
        <v>958</v>
      </c>
      <c r="K865" s="3" t="s">
        <v>37</v>
      </c>
      <c r="L865" s="3" t="s">
        <v>102</v>
      </c>
      <c r="M865" s="3" t="s">
        <v>166</v>
      </c>
      <c r="N865" s="3" t="s">
        <v>174</v>
      </c>
      <c r="O865" s="3" t="s">
        <v>171</v>
      </c>
      <c r="P865" s="3" t="s">
        <v>65</v>
      </c>
      <c r="Q865" s="3" t="s">
        <v>94</v>
      </c>
      <c r="R865" s="3"/>
      <c r="S865" s="3"/>
      <c r="T865" s="3"/>
      <c r="U865" s="3"/>
      <c r="V865" s="3"/>
      <c r="W865" s="3"/>
      <c r="X865" s="3"/>
      <c r="Y865" s="3"/>
      <c r="Z865" s="3"/>
      <c r="AA865" s="3">
        <v>27000</v>
      </c>
      <c r="AB865" s="3">
        <v>5000</v>
      </c>
      <c r="AC865" s="4">
        <v>43592</v>
      </c>
      <c r="AD865" s="3" t="s">
        <v>42</v>
      </c>
      <c r="AE865" s="3" t="s">
        <v>4590</v>
      </c>
      <c r="AF865" s="3">
        <v>240</v>
      </c>
    </row>
    <row r="866" spans="1:32" x14ac:dyDescent="0.3">
      <c r="A866" s="5">
        <v>860</v>
      </c>
      <c r="B866" s="5" t="str">
        <f>"201900203988"</f>
        <v>201900203988</v>
      </c>
      <c r="C866" s="5" t="str">
        <f>"17897"</f>
        <v>17897</v>
      </c>
      <c r="D866" s="5" t="s">
        <v>4591</v>
      </c>
      <c r="E866" s="5">
        <v>20127765279</v>
      </c>
      <c r="F866" s="5" t="s">
        <v>1115</v>
      </c>
      <c r="G866" s="5" t="s">
        <v>4592</v>
      </c>
      <c r="H866" s="5" t="s">
        <v>187</v>
      </c>
      <c r="I866" s="5" t="s">
        <v>187</v>
      </c>
      <c r="J866" s="5" t="s">
        <v>187</v>
      </c>
      <c r="K866" s="5" t="s">
        <v>37</v>
      </c>
      <c r="L866" s="5" t="s">
        <v>102</v>
      </c>
      <c r="M866" s="5" t="s">
        <v>49</v>
      </c>
      <c r="N866" s="5" t="s">
        <v>51</v>
      </c>
      <c r="O866" s="5" t="s">
        <v>50</v>
      </c>
      <c r="P866" s="5" t="s">
        <v>120</v>
      </c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>
        <v>20000</v>
      </c>
      <c r="AB866" s="5">
        <v>3500</v>
      </c>
      <c r="AC866" s="6">
        <v>43813</v>
      </c>
      <c r="AD866" s="5" t="s">
        <v>42</v>
      </c>
      <c r="AE866" s="5" t="s">
        <v>279</v>
      </c>
      <c r="AF866" s="5">
        <v>720</v>
      </c>
    </row>
    <row r="867" spans="1:32" x14ac:dyDescent="0.3">
      <c r="A867" s="3">
        <v>861</v>
      </c>
      <c r="B867" s="3" t="str">
        <f>"201900185546"</f>
        <v>201900185546</v>
      </c>
      <c r="C867" s="3" t="str">
        <f>"41768"</f>
        <v>41768</v>
      </c>
      <c r="D867" s="3" t="s">
        <v>4593</v>
      </c>
      <c r="E867" s="3">
        <v>20605427147</v>
      </c>
      <c r="F867" s="3" t="s">
        <v>4594</v>
      </c>
      <c r="G867" s="3" t="s">
        <v>4595</v>
      </c>
      <c r="H867" s="3" t="s">
        <v>638</v>
      </c>
      <c r="I867" s="3" t="s">
        <v>639</v>
      </c>
      <c r="J867" s="3" t="s">
        <v>640</v>
      </c>
      <c r="K867" s="3" t="s">
        <v>37</v>
      </c>
      <c r="L867" s="3" t="s">
        <v>950</v>
      </c>
      <c r="M867" s="3" t="s">
        <v>950</v>
      </c>
      <c r="N867" s="3" t="s">
        <v>1387</v>
      </c>
      <c r="O867" s="3" t="s">
        <v>1963</v>
      </c>
      <c r="P867" s="3" t="s">
        <v>1963</v>
      </c>
      <c r="Q867" s="3" t="s">
        <v>2264</v>
      </c>
      <c r="R867" s="3" t="s">
        <v>4596</v>
      </c>
      <c r="S867" s="3"/>
      <c r="T867" s="3"/>
      <c r="U867" s="3"/>
      <c r="V867" s="3"/>
      <c r="W867" s="3"/>
      <c r="X867" s="3"/>
      <c r="Y867" s="3"/>
      <c r="Z867" s="3"/>
      <c r="AA867" s="3">
        <v>32000</v>
      </c>
      <c r="AB867" s="3">
        <v>4650</v>
      </c>
      <c r="AC867" s="4">
        <v>43782</v>
      </c>
      <c r="AD867" s="3" t="s">
        <v>42</v>
      </c>
      <c r="AE867" s="3" t="s">
        <v>4597</v>
      </c>
      <c r="AF867" s="3">
        <v>0</v>
      </c>
    </row>
    <row r="868" spans="1:32" x14ac:dyDescent="0.3">
      <c r="A868" s="5">
        <v>862</v>
      </c>
      <c r="B868" s="5" t="str">
        <f>"201900203986"</f>
        <v>201900203986</v>
      </c>
      <c r="C868" s="5" t="str">
        <f>"8420"</f>
        <v>8420</v>
      </c>
      <c r="D868" s="5" t="s">
        <v>4598</v>
      </c>
      <c r="E868" s="5">
        <v>20127765279</v>
      </c>
      <c r="F868" s="5" t="s">
        <v>1115</v>
      </c>
      <c r="G868" s="5" t="s">
        <v>4599</v>
      </c>
      <c r="H868" s="5" t="s">
        <v>187</v>
      </c>
      <c r="I868" s="5" t="s">
        <v>187</v>
      </c>
      <c r="J868" s="5" t="s">
        <v>357</v>
      </c>
      <c r="K868" s="5" t="s">
        <v>37</v>
      </c>
      <c r="L868" s="5" t="s">
        <v>49</v>
      </c>
      <c r="M868" s="5" t="s">
        <v>51</v>
      </c>
      <c r="N868" s="5" t="s">
        <v>102</v>
      </c>
      <c r="O868" s="5" t="s">
        <v>50</v>
      </c>
      <c r="P868" s="5" t="s">
        <v>102</v>
      </c>
      <c r="Q868" s="5" t="s">
        <v>78</v>
      </c>
      <c r="R868" s="5"/>
      <c r="S868" s="5"/>
      <c r="T868" s="5"/>
      <c r="U868" s="5"/>
      <c r="V868" s="5"/>
      <c r="W868" s="5"/>
      <c r="X868" s="5"/>
      <c r="Y868" s="5"/>
      <c r="Z868" s="5"/>
      <c r="AA868" s="5">
        <v>25000</v>
      </c>
      <c r="AB868" s="5">
        <v>3200</v>
      </c>
      <c r="AC868" s="6">
        <v>43812</v>
      </c>
      <c r="AD868" s="5" t="s">
        <v>42</v>
      </c>
      <c r="AE868" s="5" t="s">
        <v>279</v>
      </c>
      <c r="AF868" s="5">
        <v>720</v>
      </c>
    </row>
    <row r="869" spans="1:32" ht="27.95" x14ac:dyDescent="0.3">
      <c r="A869" s="3">
        <v>863</v>
      </c>
      <c r="B869" s="3" t="str">
        <f>"202000053556"</f>
        <v>202000053556</v>
      </c>
      <c r="C869" s="3" t="str">
        <f>"105056"</f>
        <v>105056</v>
      </c>
      <c r="D869" s="3" t="s">
        <v>4600</v>
      </c>
      <c r="E869" s="3">
        <v>20542235447</v>
      </c>
      <c r="F869" s="3" t="s">
        <v>4601</v>
      </c>
      <c r="G869" s="3" t="s">
        <v>4602</v>
      </c>
      <c r="H869" s="3" t="s">
        <v>150</v>
      </c>
      <c r="I869" s="3" t="s">
        <v>2999</v>
      </c>
      <c r="J869" s="3" t="s">
        <v>4603</v>
      </c>
      <c r="K869" s="3" t="s">
        <v>37</v>
      </c>
      <c r="L869" s="3" t="s">
        <v>4604</v>
      </c>
      <c r="M869" s="3" t="s">
        <v>127</v>
      </c>
      <c r="N869" s="3" t="s">
        <v>127</v>
      </c>
      <c r="O869" s="3" t="s">
        <v>4605</v>
      </c>
      <c r="P869" s="3" t="s">
        <v>4604</v>
      </c>
      <c r="Q869" s="3" t="s">
        <v>78</v>
      </c>
      <c r="R869" s="3"/>
      <c r="S869" s="3"/>
      <c r="T869" s="3"/>
      <c r="U869" s="3"/>
      <c r="V869" s="3"/>
      <c r="W869" s="3"/>
      <c r="X869" s="3"/>
      <c r="Y869" s="3"/>
      <c r="Z869" s="3"/>
      <c r="AA869" s="3">
        <v>22500</v>
      </c>
      <c r="AB869" s="3">
        <v>3200</v>
      </c>
      <c r="AC869" s="4">
        <v>43957</v>
      </c>
      <c r="AD869" s="3" t="s">
        <v>42</v>
      </c>
      <c r="AE869" s="3" t="s">
        <v>3749</v>
      </c>
      <c r="AF869" s="3">
        <v>0</v>
      </c>
    </row>
    <row r="870" spans="1:32" ht="27.95" x14ac:dyDescent="0.3">
      <c r="A870" s="5">
        <v>864</v>
      </c>
      <c r="B870" s="5" t="str">
        <f>"201900162048"</f>
        <v>201900162048</v>
      </c>
      <c r="C870" s="5" t="str">
        <f>"135999"</f>
        <v>135999</v>
      </c>
      <c r="D870" s="5" t="s">
        <v>4606</v>
      </c>
      <c r="E870" s="5">
        <v>20600931521</v>
      </c>
      <c r="F870" s="5" t="s">
        <v>4607</v>
      </c>
      <c r="G870" s="5" t="s">
        <v>4608</v>
      </c>
      <c r="H870" s="5" t="s">
        <v>108</v>
      </c>
      <c r="I870" s="5" t="s">
        <v>647</v>
      </c>
      <c r="J870" s="5" t="s">
        <v>4609</v>
      </c>
      <c r="K870" s="5" t="s">
        <v>37</v>
      </c>
      <c r="L870" s="5" t="s">
        <v>63</v>
      </c>
      <c r="M870" s="5" t="s">
        <v>63</v>
      </c>
      <c r="N870" s="5" t="s">
        <v>4307</v>
      </c>
      <c r="O870" s="5" t="s">
        <v>94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>
        <v>18000</v>
      </c>
      <c r="AB870" s="5">
        <v>5000</v>
      </c>
      <c r="AC870" s="6">
        <v>43747</v>
      </c>
      <c r="AD870" s="5" t="s">
        <v>42</v>
      </c>
      <c r="AE870" s="5" t="s">
        <v>4610</v>
      </c>
      <c r="AF870" s="5">
        <v>480</v>
      </c>
    </row>
    <row r="871" spans="1:32" ht="27.95" x14ac:dyDescent="0.3">
      <c r="A871" s="3">
        <v>865</v>
      </c>
      <c r="B871" s="3" t="str">
        <f>"202000068680"</f>
        <v>202000068680</v>
      </c>
      <c r="C871" s="3" t="str">
        <f>"139478"</f>
        <v>139478</v>
      </c>
      <c r="D871" s="3" t="s">
        <v>4611</v>
      </c>
      <c r="E871" s="3">
        <v>20568798113</v>
      </c>
      <c r="F871" s="3" t="s">
        <v>2040</v>
      </c>
      <c r="G871" s="3" t="s">
        <v>4612</v>
      </c>
      <c r="H871" s="3" t="s">
        <v>58</v>
      </c>
      <c r="I871" s="3" t="s">
        <v>554</v>
      </c>
      <c r="J871" s="3" t="s">
        <v>554</v>
      </c>
      <c r="K871" s="3" t="s">
        <v>37</v>
      </c>
      <c r="L871" s="3" t="s">
        <v>166</v>
      </c>
      <c r="M871" s="3" t="s">
        <v>4613</v>
      </c>
      <c r="N871" s="3" t="s">
        <v>94</v>
      </c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>
        <v>20000</v>
      </c>
      <c r="AB871" s="3">
        <v>5000</v>
      </c>
      <c r="AC871" s="4">
        <v>44014</v>
      </c>
      <c r="AD871" s="3" t="s">
        <v>42</v>
      </c>
      <c r="AE871" s="3" t="s">
        <v>2043</v>
      </c>
      <c r="AF871" s="3">
        <v>0</v>
      </c>
    </row>
    <row r="872" spans="1:32" x14ac:dyDescent="0.3">
      <c r="A872" s="5">
        <v>866</v>
      </c>
      <c r="B872" s="5" t="str">
        <f>"201800172588"</f>
        <v>201800172588</v>
      </c>
      <c r="C872" s="5" t="str">
        <f>"138764"</f>
        <v>138764</v>
      </c>
      <c r="D872" s="5" t="s">
        <v>4614</v>
      </c>
      <c r="E872" s="5">
        <v>10200564486</v>
      </c>
      <c r="F872" s="5" t="s">
        <v>4615</v>
      </c>
      <c r="G872" s="5" t="s">
        <v>4616</v>
      </c>
      <c r="H872" s="5" t="s">
        <v>108</v>
      </c>
      <c r="I872" s="5" t="s">
        <v>109</v>
      </c>
      <c r="J872" s="5" t="s">
        <v>109</v>
      </c>
      <c r="K872" s="5" t="s">
        <v>37</v>
      </c>
      <c r="L872" s="5" t="s">
        <v>862</v>
      </c>
      <c r="M872" s="5" t="s">
        <v>882</v>
      </c>
      <c r="N872" s="5" t="s">
        <v>2256</v>
      </c>
      <c r="O872" s="5" t="s">
        <v>94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>
        <v>14500</v>
      </c>
      <c r="AB872" s="5">
        <v>5000</v>
      </c>
      <c r="AC872" s="6">
        <v>43395</v>
      </c>
      <c r="AD872" s="5" t="s">
        <v>42</v>
      </c>
      <c r="AE872" s="5" t="s">
        <v>4615</v>
      </c>
      <c r="AF872" s="5">
        <v>480</v>
      </c>
    </row>
    <row r="873" spans="1:32" ht="27.95" x14ac:dyDescent="0.3">
      <c r="A873" s="3">
        <v>867</v>
      </c>
      <c r="B873" s="3" t="str">
        <f>"201200074271"</f>
        <v>201200074271</v>
      </c>
      <c r="C873" s="3" t="str">
        <f>"16664"</f>
        <v>16664</v>
      </c>
      <c r="D873" s="3" t="s">
        <v>4617</v>
      </c>
      <c r="E873" s="3">
        <v>20160883155</v>
      </c>
      <c r="F873" s="3" t="s">
        <v>4618</v>
      </c>
      <c r="G873" s="3" t="s">
        <v>4619</v>
      </c>
      <c r="H873" s="3" t="s">
        <v>58</v>
      </c>
      <c r="I873" s="3" t="s">
        <v>498</v>
      </c>
      <c r="J873" s="3" t="s">
        <v>1981</v>
      </c>
      <c r="K873" s="3" t="s">
        <v>37</v>
      </c>
      <c r="L873" s="3" t="s">
        <v>2052</v>
      </c>
      <c r="M873" s="3" t="s">
        <v>4620</v>
      </c>
      <c r="N873" s="3" t="s">
        <v>4621</v>
      </c>
      <c r="O873" s="3" t="s">
        <v>4622</v>
      </c>
      <c r="P873" s="3" t="s">
        <v>103</v>
      </c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>
        <v>24200</v>
      </c>
      <c r="AB873" s="3">
        <v>2500</v>
      </c>
      <c r="AC873" s="4">
        <v>41053</v>
      </c>
      <c r="AD873" s="3" t="s">
        <v>42</v>
      </c>
      <c r="AE873" s="3" t="s">
        <v>4623</v>
      </c>
      <c r="AF873" s="3">
        <v>120</v>
      </c>
    </row>
    <row r="874" spans="1:32" ht="27.95" x14ac:dyDescent="0.3">
      <c r="A874" s="5">
        <v>868</v>
      </c>
      <c r="B874" s="5" t="str">
        <f>"201700031396"</f>
        <v>201700031396</v>
      </c>
      <c r="C874" s="5" t="str">
        <f>"9530"</f>
        <v>9530</v>
      </c>
      <c r="D874" s="5" t="s">
        <v>4624</v>
      </c>
      <c r="E874" s="5">
        <v>20511193045</v>
      </c>
      <c r="F874" s="5" t="s">
        <v>536</v>
      </c>
      <c r="G874" s="5" t="s">
        <v>4625</v>
      </c>
      <c r="H874" s="5" t="s">
        <v>58</v>
      </c>
      <c r="I874" s="5" t="s">
        <v>58</v>
      </c>
      <c r="J874" s="5" t="s">
        <v>4626</v>
      </c>
      <c r="K874" s="5" t="s">
        <v>37</v>
      </c>
      <c r="L874" s="5" t="s">
        <v>4627</v>
      </c>
      <c r="M874" s="5" t="s">
        <v>4628</v>
      </c>
      <c r="N874" s="5" t="s">
        <v>4629</v>
      </c>
      <c r="O874" s="5" t="s">
        <v>63</v>
      </c>
      <c r="P874" s="5" t="s">
        <v>94</v>
      </c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>
        <v>13714</v>
      </c>
      <c r="AB874" s="5">
        <v>5000</v>
      </c>
      <c r="AC874" s="6">
        <v>42801</v>
      </c>
      <c r="AD874" s="5" t="s">
        <v>42</v>
      </c>
      <c r="AE874" s="5" t="s">
        <v>4630</v>
      </c>
      <c r="AF874" s="5">
        <v>0</v>
      </c>
    </row>
    <row r="875" spans="1:32" ht="27.95" x14ac:dyDescent="0.3">
      <c r="A875" s="3">
        <v>869</v>
      </c>
      <c r="B875" s="3" t="str">
        <f>"201900007979"</f>
        <v>201900007979</v>
      </c>
      <c r="C875" s="3" t="str">
        <f>"138569"</f>
        <v>138569</v>
      </c>
      <c r="D875" s="3" t="s">
        <v>4631</v>
      </c>
      <c r="E875" s="3">
        <v>20601310679</v>
      </c>
      <c r="F875" s="3" t="s">
        <v>4632</v>
      </c>
      <c r="G875" s="3" t="s">
        <v>4633</v>
      </c>
      <c r="H875" s="3" t="s">
        <v>219</v>
      </c>
      <c r="I875" s="3" t="s">
        <v>220</v>
      </c>
      <c r="J875" s="3" t="s">
        <v>908</v>
      </c>
      <c r="K875" s="3" t="s">
        <v>37</v>
      </c>
      <c r="L875" s="3" t="s">
        <v>459</v>
      </c>
      <c r="M875" s="3" t="s">
        <v>1942</v>
      </c>
      <c r="N875" s="3" t="s">
        <v>4634</v>
      </c>
      <c r="O875" s="3" t="s">
        <v>979</v>
      </c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>
        <v>9000</v>
      </c>
      <c r="AB875" s="3">
        <v>7000</v>
      </c>
      <c r="AC875" s="4">
        <v>43494</v>
      </c>
      <c r="AD875" s="3" t="s">
        <v>42</v>
      </c>
      <c r="AE875" s="3" t="s">
        <v>4635</v>
      </c>
      <c r="AF875" s="3">
        <v>720</v>
      </c>
    </row>
    <row r="876" spans="1:32" ht="27.95" x14ac:dyDescent="0.3">
      <c r="A876" s="5">
        <v>870</v>
      </c>
      <c r="B876" s="5" t="str">
        <f>"201800050883"</f>
        <v>201800050883</v>
      </c>
      <c r="C876" s="5" t="str">
        <f>"31899"</f>
        <v>31899</v>
      </c>
      <c r="D876" s="5" t="s">
        <v>4636</v>
      </c>
      <c r="E876" s="5">
        <v>20573189885</v>
      </c>
      <c r="F876" s="5" t="s">
        <v>4637</v>
      </c>
      <c r="G876" s="5" t="s">
        <v>4638</v>
      </c>
      <c r="H876" s="5" t="s">
        <v>125</v>
      </c>
      <c r="I876" s="5" t="s">
        <v>125</v>
      </c>
      <c r="J876" s="5" t="s">
        <v>126</v>
      </c>
      <c r="K876" s="5" t="s">
        <v>37</v>
      </c>
      <c r="L876" s="5" t="s">
        <v>4639</v>
      </c>
      <c r="M876" s="5" t="s">
        <v>4640</v>
      </c>
      <c r="N876" s="5" t="s">
        <v>4641</v>
      </c>
      <c r="O876" s="5" t="s">
        <v>4641</v>
      </c>
      <c r="P876" s="5" t="s">
        <v>41</v>
      </c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>
        <v>26320</v>
      </c>
      <c r="AB876" s="5">
        <v>10000</v>
      </c>
      <c r="AC876" s="6">
        <v>43200</v>
      </c>
      <c r="AD876" s="5" t="s">
        <v>42</v>
      </c>
      <c r="AE876" s="5" t="s">
        <v>1480</v>
      </c>
      <c r="AF876" s="5">
        <v>720</v>
      </c>
    </row>
    <row r="877" spans="1:32" x14ac:dyDescent="0.3">
      <c r="A877" s="3">
        <v>871</v>
      </c>
      <c r="B877" s="3" t="str">
        <f>"201800120877"</f>
        <v>201800120877</v>
      </c>
      <c r="C877" s="3" t="str">
        <f>"18597"</f>
        <v>18597</v>
      </c>
      <c r="D877" s="3" t="s">
        <v>4642</v>
      </c>
      <c r="E877" s="3">
        <v>20603373953</v>
      </c>
      <c r="F877" s="3" t="s">
        <v>4643</v>
      </c>
      <c r="G877" s="3" t="s">
        <v>4644</v>
      </c>
      <c r="H877" s="3" t="s">
        <v>108</v>
      </c>
      <c r="I877" s="3" t="s">
        <v>647</v>
      </c>
      <c r="J877" s="3" t="s">
        <v>647</v>
      </c>
      <c r="K877" s="3" t="s">
        <v>37</v>
      </c>
      <c r="L877" s="3" t="s">
        <v>49</v>
      </c>
      <c r="M877" s="3" t="s">
        <v>396</v>
      </c>
      <c r="N877" s="3" t="s">
        <v>263</v>
      </c>
      <c r="O877" s="3" t="s">
        <v>166</v>
      </c>
      <c r="P877" s="3" t="s">
        <v>3899</v>
      </c>
      <c r="Q877" s="3" t="s">
        <v>1530</v>
      </c>
      <c r="R877" s="3" t="s">
        <v>78</v>
      </c>
      <c r="S877" s="3"/>
      <c r="T877" s="3"/>
      <c r="U877" s="3"/>
      <c r="V877" s="3"/>
      <c r="W877" s="3"/>
      <c r="X877" s="3"/>
      <c r="Y877" s="3"/>
      <c r="Z877" s="3"/>
      <c r="AA877" s="3">
        <v>41200</v>
      </c>
      <c r="AB877" s="3">
        <v>3200</v>
      </c>
      <c r="AC877" s="4">
        <v>43306</v>
      </c>
      <c r="AD877" s="3" t="s">
        <v>42</v>
      </c>
      <c r="AE877" s="3" t="s">
        <v>4645</v>
      </c>
      <c r="AF877" s="3">
        <v>0</v>
      </c>
    </row>
    <row r="878" spans="1:32" ht="27.95" x14ac:dyDescent="0.3">
      <c r="A878" s="5">
        <v>872</v>
      </c>
      <c r="B878" s="5" t="str">
        <f>"202000123311"</f>
        <v>202000123311</v>
      </c>
      <c r="C878" s="5" t="str">
        <f>"8811"</f>
        <v>8811</v>
      </c>
      <c r="D878" s="5" t="s">
        <v>4646</v>
      </c>
      <c r="E878" s="5">
        <v>20471203816</v>
      </c>
      <c r="F878" s="5" t="s">
        <v>4647</v>
      </c>
      <c r="G878" s="5" t="s">
        <v>4648</v>
      </c>
      <c r="H878" s="5" t="s">
        <v>58</v>
      </c>
      <c r="I878" s="5" t="s">
        <v>58</v>
      </c>
      <c r="J878" s="5" t="s">
        <v>1756</v>
      </c>
      <c r="K878" s="5" t="s">
        <v>37</v>
      </c>
      <c r="L878" s="5" t="s">
        <v>63</v>
      </c>
      <c r="M878" s="5" t="s">
        <v>263</v>
      </c>
      <c r="N878" s="5" t="s">
        <v>161</v>
      </c>
      <c r="O878" s="5" t="s">
        <v>166</v>
      </c>
      <c r="P878" s="5" t="s">
        <v>4649</v>
      </c>
      <c r="Q878" s="5" t="s">
        <v>381</v>
      </c>
      <c r="R878" s="5"/>
      <c r="S878" s="5"/>
      <c r="T878" s="5"/>
      <c r="U878" s="5"/>
      <c r="V878" s="5"/>
      <c r="W878" s="5"/>
      <c r="X878" s="5"/>
      <c r="Y878" s="5"/>
      <c r="Z878" s="5"/>
      <c r="AA878" s="5">
        <v>34000</v>
      </c>
      <c r="AB878" s="5">
        <v>2000</v>
      </c>
      <c r="AC878" s="6">
        <v>44091</v>
      </c>
      <c r="AD878" s="5" t="s">
        <v>42</v>
      </c>
      <c r="AE878" s="5" t="s">
        <v>4650</v>
      </c>
      <c r="AF878" s="5">
        <v>0</v>
      </c>
    </row>
    <row r="879" spans="1:32" ht="27.95" x14ac:dyDescent="0.3">
      <c r="A879" s="3">
        <v>873</v>
      </c>
      <c r="B879" s="3" t="str">
        <f>"201900126187"</f>
        <v>201900126187</v>
      </c>
      <c r="C879" s="3" t="str">
        <f>"8157"</f>
        <v>8157</v>
      </c>
      <c r="D879" s="3" t="s">
        <v>4651</v>
      </c>
      <c r="E879" s="3">
        <v>20202997113</v>
      </c>
      <c r="F879" s="3" t="s">
        <v>4652</v>
      </c>
      <c r="G879" s="3" t="s">
        <v>4653</v>
      </c>
      <c r="H879" s="3" t="s">
        <v>58</v>
      </c>
      <c r="I879" s="3" t="s">
        <v>58</v>
      </c>
      <c r="J879" s="3" t="s">
        <v>2483</v>
      </c>
      <c r="K879" s="3" t="s">
        <v>37</v>
      </c>
      <c r="L879" s="3" t="s">
        <v>3353</v>
      </c>
      <c r="M879" s="3" t="s">
        <v>1016</v>
      </c>
      <c r="N879" s="3" t="s">
        <v>4654</v>
      </c>
      <c r="O879" s="3" t="s">
        <v>4655</v>
      </c>
      <c r="P879" s="3" t="s">
        <v>248</v>
      </c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>
        <v>41500</v>
      </c>
      <c r="AB879" s="3">
        <v>3000</v>
      </c>
      <c r="AC879" s="4">
        <v>43697</v>
      </c>
      <c r="AD879" s="3" t="s">
        <v>42</v>
      </c>
      <c r="AE879" s="3" t="s">
        <v>4656</v>
      </c>
      <c r="AF879" s="3">
        <v>0</v>
      </c>
    </row>
    <row r="880" spans="1:32" ht="27.95" x14ac:dyDescent="0.3">
      <c r="A880" s="5">
        <v>874</v>
      </c>
      <c r="B880" s="5" t="str">
        <f>"201900115508"</f>
        <v>201900115508</v>
      </c>
      <c r="C880" s="5" t="str">
        <f>"130689"</f>
        <v>130689</v>
      </c>
      <c r="D880" s="5" t="s">
        <v>4657</v>
      </c>
      <c r="E880" s="5">
        <v>20604178704</v>
      </c>
      <c r="F880" s="5" t="s">
        <v>2968</v>
      </c>
      <c r="G880" s="5" t="s">
        <v>4658</v>
      </c>
      <c r="H880" s="5" t="s">
        <v>219</v>
      </c>
      <c r="I880" s="5" t="s">
        <v>220</v>
      </c>
      <c r="J880" s="5" t="s">
        <v>908</v>
      </c>
      <c r="K880" s="5" t="s">
        <v>37</v>
      </c>
      <c r="L880" s="5" t="s">
        <v>172</v>
      </c>
      <c r="M880" s="5" t="s">
        <v>3953</v>
      </c>
      <c r="N880" s="5" t="s">
        <v>76</v>
      </c>
      <c r="O880" s="5" t="s">
        <v>66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>
        <v>10000</v>
      </c>
      <c r="AB880" s="5">
        <v>4500</v>
      </c>
      <c r="AC880" s="6">
        <v>43673</v>
      </c>
      <c r="AD880" s="5" t="s">
        <v>42</v>
      </c>
      <c r="AE880" s="5" t="s">
        <v>2972</v>
      </c>
      <c r="AF880" s="5">
        <v>0</v>
      </c>
    </row>
    <row r="881" spans="1:32" ht="27.95" x14ac:dyDescent="0.3">
      <c r="A881" s="3">
        <v>875</v>
      </c>
      <c r="B881" s="3" t="str">
        <f>"201700117069"</f>
        <v>201700117069</v>
      </c>
      <c r="C881" s="3" t="str">
        <f>"6975"</f>
        <v>6975</v>
      </c>
      <c r="D881" s="3" t="s">
        <v>4659</v>
      </c>
      <c r="E881" s="3">
        <v>20452350921</v>
      </c>
      <c r="F881" s="3" t="s">
        <v>4453</v>
      </c>
      <c r="G881" s="3" t="s">
        <v>4660</v>
      </c>
      <c r="H881" s="3" t="s">
        <v>47</v>
      </c>
      <c r="I881" s="3" t="s">
        <v>159</v>
      </c>
      <c r="J881" s="3" t="s">
        <v>4661</v>
      </c>
      <c r="K881" s="3" t="s">
        <v>37</v>
      </c>
      <c r="L881" s="3" t="s">
        <v>72</v>
      </c>
      <c r="M881" s="3" t="s">
        <v>504</v>
      </c>
      <c r="N881" s="3" t="s">
        <v>709</v>
      </c>
      <c r="O881" s="3" t="s">
        <v>94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>
        <v>24000</v>
      </c>
      <c r="AB881" s="3">
        <v>5000</v>
      </c>
      <c r="AC881" s="4">
        <v>42940</v>
      </c>
      <c r="AD881" s="3" t="s">
        <v>42</v>
      </c>
      <c r="AE881" s="3" t="s">
        <v>4455</v>
      </c>
      <c r="AF881" s="3">
        <v>0</v>
      </c>
    </row>
    <row r="882" spans="1:32" ht="27.95" x14ac:dyDescent="0.3">
      <c r="A882" s="5">
        <v>876</v>
      </c>
      <c r="B882" s="5" t="str">
        <f>"201700185211"</f>
        <v>201700185211</v>
      </c>
      <c r="C882" s="5" t="str">
        <f>"132703"</f>
        <v>132703</v>
      </c>
      <c r="D882" s="5" t="s">
        <v>4662</v>
      </c>
      <c r="E882" s="5">
        <v>20601482933</v>
      </c>
      <c r="F882" s="5" t="s">
        <v>4663</v>
      </c>
      <c r="G882" s="5" t="s">
        <v>4664</v>
      </c>
      <c r="H882" s="5" t="s">
        <v>36</v>
      </c>
      <c r="I882" s="5" t="s">
        <v>36</v>
      </c>
      <c r="J882" s="5" t="s">
        <v>761</v>
      </c>
      <c r="K882" s="5" t="s">
        <v>37</v>
      </c>
      <c r="L882" s="5" t="s">
        <v>387</v>
      </c>
      <c r="M882" s="5" t="s">
        <v>368</v>
      </c>
      <c r="N882" s="5" t="s">
        <v>1007</v>
      </c>
      <c r="O882" s="5" t="s">
        <v>754</v>
      </c>
      <c r="P882" s="5" t="s">
        <v>94</v>
      </c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>
        <v>15500</v>
      </c>
      <c r="AB882" s="5">
        <v>5000</v>
      </c>
      <c r="AC882" s="6">
        <v>43048</v>
      </c>
      <c r="AD882" s="5" t="s">
        <v>42</v>
      </c>
      <c r="AE882" s="5" t="s">
        <v>1212</v>
      </c>
      <c r="AF882" s="5">
        <v>0</v>
      </c>
    </row>
    <row r="883" spans="1:32" x14ac:dyDescent="0.3">
      <c r="A883" s="3">
        <v>877</v>
      </c>
      <c r="B883" s="3" t="str">
        <f>"201900112417"</f>
        <v>201900112417</v>
      </c>
      <c r="C883" s="3" t="str">
        <f>"18435"</f>
        <v>18435</v>
      </c>
      <c r="D883" s="3" t="s">
        <v>4665</v>
      </c>
      <c r="E883" s="3">
        <v>20362236003</v>
      </c>
      <c r="F883" s="3" t="s">
        <v>4666</v>
      </c>
      <c r="G883" s="3" t="s">
        <v>4667</v>
      </c>
      <c r="H883" s="3" t="s">
        <v>150</v>
      </c>
      <c r="I883" s="3" t="s">
        <v>151</v>
      </c>
      <c r="J883" s="3" t="s">
        <v>151</v>
      </c>
      <c r="K883" s="3" t="s">
        <v>37</v>
      </c>
      <c r="L883" s="3" t="s">
        <v>557</v>
      </c>
      <c r="M883" s="3" t="s">
        <v>557</v>
      </c>
      <c r="N883" s="3" t="s">
        <v>557</v>
      </c>
      <c r="O883" s="3" t="s">
        <v>4473</v>
      </c>
      <c r="P883" s="3" t="s">
        <v>1237</v>
      </c>
      <c r="Q883" s="3" t="s">
        <v>1238</v>
      </c>
      <c r="R883" s="3" t="s">
        <v>4668</v>
      </c>
      <c r="S883" s="3" t="s">
        <v>41</v>
      </c>
      <c r="T883" s="3"/>
      <c r="U883" s="3"/>
      <c r="V883" s="3"/>
      <c r="W883" s="3"/>
      <c r="X883" s="3"/>
      <c r="Y883" s="3"/>
      <c r="Z883" s="3"/>
      <c r="AA883" s="3">
        <v>47500</v>
      </c>
      <c r="AB883" s="3">
        <v>10000</v>
      </c>
      <c r="AC883" s="4">
        <v>43661</v>
      </c>
      <c r="AD883" s="3" t="s">
        <v>42</v>
      </c>
      <c r="AE883" s="3" t="s">
        <v>4669</v>
      </c>
      <c r="AF883" s="3">
        <v>240</v>
      </c>
    </row>
    <row r="884" spans="1:32" ht="27.95" x14ac:dyDescent="0.3">
      <c r="A884" s="5">
        <v>878</v>
      </c>
      <c r="B884" s="5" t="str">
        <f>"201800039837"</f>
        <v>201800039837</v>
      </c>
      <c r="C884" s="5" t="str">
        <f>"133099"</f>
        <v>133099</v>
      </c>
      <c r="D884" s="5" t="s">
        <v>4670</v>
      </c>
      <c r="E884" s="5">
        <v>20545947391</v>
      </c>
      <c r="F884" s="5" t="s">
        <v>4671</v>
      </c>
      <c r="G884" s="5" t="s">
        <v>4672</v>
      </c>
      <c r="H884" s="5" t="s">
        <v>58</v>
      </c>
      <c r="I884" s="5" t="s">
        <v>58</v>
      </c>
      <c r="J884" s="5" t="s">
        <v>1267</v>
      </c>
      <c r="K884" s="5" t="s">
        <v>37</v>
      </c>
      <c r="L884" s="5" t="s">
        <v>102</v>
      </c>
      <c r="M884" s="5" t="s">
        <v>4673</v>
      </c>
      <c r="N884" s="5" t="s">
        <v>78</v>
      </c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>
        <v>10000</v>
      </c>
      <c r="AB884" s="5">
        <v>3200</v>
      </c>
      <c r="AC884" s="6">
        <v>43168</v>
      </c>
      <c r="AD884" s="5" t="s">
        <v>42</v>
      </c>
      <c r="AE884" s="5" t="s">
        <v>206</v>
      </c>
      <c r="AF884" s="5">
        <v>0</v>
      </c>
    </row>
    <row r="885" spans="1:32" ht="27.95" x14ac:dyDescent="0.3">
      <c r="A885" s="3">
        <v>879</v>
      </c>
      <c r="B885" s="3" t="str">
        <f>"201900204406"</f>
        <v>201900204406</v>
      </c>
      <c r="C885" s="3" t="str">
        <f>"108881"</f>
        <v>108881</v>
      </c>
      <c r="D885" s="3" t="s">
        <v>4674</v>
      </c>
      <c r="E885" s="3">
        <v>20330033313</v>
      </c>
      <c r="F885" s="3" t="s">
        <v>1115</v>
      </c>
      <c r="G885" s="3" t="s">
        <v>4675</v>
      </c>
      <c r="H885" s="3" t="s">
        <v>108</v>
      </c>
      <c r="I885" s="3" t="s">
        <v>647</v>
      </c>
      <c r="J885" s="3" t="s">
        <v>891</v>
      </c>
      <c r="K885" s="3" t="s">
        <v>37</v>
      </c>
      <c r="L885" s="3" t="s">
        <v>72</v>
      </c>
      <c r="M885" s="3" t="s">
        <v>4676</v>
      </c>
      <c r="N885" s="3" t="s">
        <v>120</v>
      </c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>
        <v>16000</v>
      </c>
      <c r="AB885" s="3">
        <v>3500</v>
      </c>
      <c r="AC885" s="4">
        <v>43809</v>
      </c>
      <c r="AD885" s="3" t="s">
        <v>42</v>
      </c>
      <c r="AE885" s="3" t="s">
        <v>279</v>
      </c>
      <c r="AF885" s="3">
        <v>0</v>
      </c>
    </row>
    <row r="886" spans="1:32" x14ac:dyDescent="0.3">
      <c r="A886" s="5">
        <v>880</v>
      </c>
      <c r="B886" s="5" t="str">
        <f>"201600131128"</f>
        <v>201600131128</v>
      </c>
      <c r="C886" s="5" t="str">
        <f>"111102"</f>
        <v>111102</v>
      </c>
      <c r="D886" s="5" t="s">
        <v>4677</v>
      </c>
      <c r="E886" s="5">
        <v>20479872962</v>
      </c>
      <c r="F886" s="5" t="s">
        <v>3946</v>
      </c>
      <c r="G886" s="5" t="s">
        <v>4678</v>
      </c>
      <c r="H886" s="5" t="s">
        <v>36</v>
      </c>
      <c r="I886" s="5" t="s">
        <v>36</v>
      </c>
      <c r="J886" s="5" t="s">
        <v>517</v>
      </c>
      <c r="K886" s="5" t="s">
        <v>37</v>
      </c>
      <c r="L886" s="5" t="s">
        <v>4679</v>
      </c>
      <c r="M886" s="5" t="s">
        <v>4680</v>
      </c>
      <c r="N886" s="5" t="s">
        <v>4681</v>
      </c>
      <c r="O886" s="5" t="s">
        <v>4682</v>
      </c>
      <c r="P886" s="5" t="s">
        <v>4683</v>
      </c>
      <c r="Q886" s="5" t="s">
        <v>66</v>
      </c>
      <c r="R886" s="5"/>
      <c r="S886" s="5"/>
      <c r="T886" s="5"/>
      <c r="U886" s="5"/>
      <c r="V886" s="5"/>
      <c r="W886" s="5"/>
      <c r="X886" s="5"/>
      <c r="Y886" s="5"/>
      <c r="Z886" s="5"/>
      <c r="AA886" s="5">
        <v>16320</v>
      </c>
      <c r="AB886" s="5">
        <v>4500</v>
      </c>
      <c r="AC886" s="6">
        <v>42625</v>
      </c>
      <c r="AD886" s="5" t="s">
        <v>42</v>
      </c>
      <c r="AE886" s="5" t="s">
        <v>3949</v>
      </c>
      <c r="AF886" s="5">
        <v>0</v>
      </c>
    </row>
    <row r="887" spans="1:32" ht="27.95" x14ac:dyDescent="0.3">
      <c r="A887" s="3">
        <v>881</v>
      </c>
      <c r="B887" s="3" t="str">
        <f>"202000054319"</f>
        <v>202000054319</v>
      </c>
      <c r="C887" s="3" t="str">
        <f>"9562"</f>
        <v>9562</v>
      </c>
      <c r="D887" s="3" t="s">
        <v>4684</v>
      </c>
      <c r="E887" s="3">
        <v>20175642341</v>
      </c>
      <c r="F887" s="3" t="s">
        <v>2212</v>
      </c>
      <c r="G887" s="3" t="s">
        <v>4685</v>
      </c>
      <c r="H887" s="3" t="s">
        <v>187</v>
      </c>
      <c r="I887" s="3" t="s">
        <v>187</v>
      </c>
      <c r="J887" s="3" t="s">
        <v>187</v>
      </c>
      <c r="K887" s="3" t="s">
        <v>37</v>
      </c>
      <c r="L887" s="3" t="s">
        <v>669</v>
      </c>
      <c r="M887" s="3" t="s">
        <v>171</v>
      </c>
      <c r="N887" s="3" t="s">
        <v>368</v>
      </c>
      <c r="O887" s="3" t="s">
        <v>929</v>
      </c>
      <c r="P887" s="3" t="s">
        <v>381</v>
      </c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>
        <v>18500</v>
      </c>
      <c r="AB887" s="3">
        <v>2000</v>
      </c>
      <c r="AC887" s="4">
        <v>43957</v>
      </c>
      <c r="AD887" s="3" t="s">
        <v>42</v>
      </c>
      <c r="AE887" s="3" t="s">
        <v>2215</v>
      </c>
      <c r="AF887" s="3">
        <v>0</v>
      </c>
    </row>
    <row r="888" spans="1:32" ht="27.95" x14ac:dyDescent="0.3">
      <c r="A888" s="5">
        <v>882</v>
      </c>
      <c r="B888" s="5" t="str">
        <f>"202000008088"</f>
        <v>202000008088</v>
      </c>
      <c r="C888" s="5" t="str">
        <f>"82564"</f>
        <v>82564</v>
      </c>
      <c r="D888" s="5" t="s">
        <v>4686</v>
      </c>
      <c r="E888" s="5">
        <v>20408147523</v>
      </c>
      <c r="F888" s="5" t="s">
        <v>4687</v>
      </c>
      <c r="G888" s="5" t="s">
        <v>4688</v>
      </c>
      <c r="H888" s="5" t="s">
        <v>58</v>
      </c>
      <c r="I888" s="5" t="s">
        <v>498</v>
      </c>
      <c r="J888" s="5" t="s">
        <v>2010</v>
      </c>
      <c r="K888" s="5" t="s">
        <v>37</v>
      </c>
      <c r="L888" s="5" t="s">
        <v>3727</v>
      </c>
      <c r="M888" s="5" t="s">
        <v>2425</v>
      </c>
      <c r="N888" s="5" t="s">
        <v>120</v>
      </c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>
        <v>8400</v>
      </c>
      <c r="AB888" s="5">
        <v>3500</v>
      </c>
      <c r="AC888" s="6">
        <v>43852</v>
      </c>
      <c r="AD888" s="5" t="s">
        <v>42</v>
      </c>
      <c r="AE888" s="5" t="s">
        <v>4689</v>
      </c>
      <c r="AF888" s="5">
        <v>0</v>
      </c>
    </row>
    <row r="889" spans="1:32" x14ac:dyDescent="0.3">
      <c r="A889" s="3">
        <v>883</v>
      </c>
      <c r="B889" s="3" t="str">
        <f>"201900115443"</f>
        <v>201900115443</v>
      </c>
      <c r="C889" s="3" t="str">
        <f>"9569"</f>
        <v>9569</v>
      </c>
      <c r="D889" s="3" t="s">
        <v>4690</v>
      </c>
      <c r="E889" s="3">
        <v>20450492729</v>
      </c>
      <c r="F889" s="3" t="s">
        <v>4691</v>
      </c>
      <c r="G889" s="3" t="s">
        <v>4692</v>
      </c>
      <c r="H889" s="3" t="s">
        <v>150</v>
      </c>
      <c r="I889" s="3" t="s">
        <v>151</v>
      </c>
      <c r="J889" s="3" t="s">
        <v>151</v>
      </c>
      <c r="K889" s="3" t="s">
        <v>37</v>
      </c>
      <c r="L889" s="3" t="s">
        <v>110</v>
      </c>
      <c r="M889" s="3" t="s">
        <v>4693</v>
      </c>
      <c r="N889" s="3" t="s">
        <v>4694</v>
      </c>
      <c r="O889" s="3" t="s">
        <v>94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>
        <v>19500</v>
      </c>
      <c r="AB889" s="3">
        <v>5000</v>
      </c>
      <c r="AC889" s="4">
        <v>43664</v>
      </c>
      <c r="AD889" s="3" t="s">
        <v>42</v>
      </c>
      <c r="AE889" s="3" t="s">
        <v>4695</v>
      </c>
      <c r="AF889" s="3">
        <v>0</v>
      </c>
    </row>
    <row r="890" spans="1:32" ht="41.95" x14ac:dyDescent="0.3">
      <c r="A890" s="5">
        <v>884</v>
      </c>
      <c r="B890" s="5" t="str">
        <f>"202000001313"</f>
        <v>202000001313</v>
      </c>
      <c r="C890" s="5" t="str">
        <f>"7207"</f>
        <v>7207</v>
      </c>
      <c r="D890" s="5" t="s">
        <v>4696</v>
      </c>
      <c r="E890" s="5">
        <v>20602039804</v>
      </c>
      <c r="F890" s="5" t="s">
        <v>4697</v>
      </c>
      <c r="G890" s="5" t="s">
        <v>4698</v>
      </c>
      <c r="H890" s="5" t="s">
        <v>219</v>
      </c>
      <c r="I890" s="5" t="s">
        <v>220</v>
      </c>
      <c r="J890" s="5" t="s">
        <v>1729</v>
      </c>
      <c r="K890" s="5" t="s">
        <v>37</v>
      </c>
      <c r="L890" s="5" t="s">
        <v>172</v>
      </c>
      <c r="M890" s="5" t="s">
        <v>172</v>
      </c>
      <c r="N890" s="5" t="s">
        <v>174</v>
      </c>
      <c r="O890" s="5" t="s">
        <v>76</v>
      </c>
      <c r="P890" s="5" t="s">
        <v>77</v>
      </c>
      <c r="Q890" s="5" t="s">
        <v>94</v>
      </c>
      <c r="R890" s="5"/>
      <c r="S890" s="5"/>
      <c r="T890" s="5"/>
      <c r="U890" s="5"/>
      <c r="V890" s="5"/>
      <c r="W890" s="5"/>
      <c r="X890" s="5"/>
      <c r="Y890" s="5"/>
      <c r="Z890" s="5"/>
      <c r="AA890" s="5">
        <v>16000</v>
      </c>
      <c r="AB890" s="5">
        <v>5000</v>
      </c>
      <c r="AC890" s="6">
        <v>43840</v>
      </c>
      <c r="AD890" s="5" t="s">
        <v>42</v>
      </c>
      <c r="AE890" s="5" t="s">
        <v>4699</v>
      </c>
      <c r="AF890" s="5">
        <v>0</v>
      </c>
    </row>
    <row r="891" spans="1:32" ht="27.95" x14ac:dyDescent="0.3">
      <c r="A891" s="3">
        <v>885</v>
      </c>
      <c r="B891" s="3" t="str">
        <f>"201600047742"</f>
        <v>201600047742</v>
      </c>
      <c r="C891" s="3" t="str">
        <f>"114591"</f>
        <v>114591</v>
      </c>
      <c r="D891" s="3" t="s">
        <v>4700</v>
      </c>
      <c r="E891" s="3">
        <v>10415108945</v>
      </c>
      <c r="F891" s="3" t="s">
        <v>4701</v>
      </c>
      <c r="G891" s="3" t="s">
        <v>4702</v>
      </c>
      <c r="H891" s="3" t="s">
        <v>58</v>
      </c>
      <c r="I891" s="3" t="s">
        <v>554</v>
      </c>
      <c r="J891" s="3" t="s">
        <v>4401</v>
      </c>
      <c r="K891" s="3" t="s">
        <v>37</v>
      </c>
      <c r="L891" s="3" t="s">
        <v>110</v>
      </c>
      <c r="M891" s="3" t="s">
        <v>110</v>
      </c>
      <c r="N891" s="3" t="s">
        <v>3663</v>
      </c>
      <c r="O891" s="3" t="s">
        <v>211</v>
      </c>
      <c r="P891" s="3" t="s">
        <v>4101</v>
      </c>
      <c r="Q891" s="3" t="s">
        <v>78</v>
      </c>
      <c r="R891" s="3"/>
      <c r="S891" s="3"/>
      <c r="T891" s="3"/>
      <c r="U891" s="3"/>
      <c r="V891" s="3"/>
      <c r="W891" s="3"/>
      <c r="X891" s="3"/>
      <c r="Y891" s="3"/>
      <c r="Z891" s="3"/>
      <c r="AA891" s="3">
        <v>23500</v>
      </c>
      <c r="AB891" s="3">
        <v>3200</v>
      </c>
      <c r="AC891" s="4">
        <v>42479</v>
      </c>
      <c r="AD891" s="3" t="s">
        <v>42</v>
      </c>
      <c r="AE891" s="3" t="s">
        <v>4703</v>
      </c>
      <c r="AF891" s="3">
        <v>0</v>
      </c>
    </row>
    <row r="892" spans="1:32" ht="27.95" x14ac:dyDescent="0.3">
      <c r="A892" s="5">
        <v>886</v>
      </c>
      <c r="B892" s="5" t="str">
        <f>"201900065564"</f>
        <v>201900065564</v>
      </c>
      <c r="C892" s="5" t="str">
        <f>"142783"</f>
        <v>142783</v>
      </c>
      <c r="D892" s="5" t="s">
        <v>4704</v>
      </c>
      <c r="E892" s="5">
        <v>20354286581</v>
      </c>
      <c r="F892" s="5" t="s">
        <v>4705</v>
      </c>
      <c r="G892" s="5" t="s">
        <v>4706</v>
      </c>
      <c r="H892" s="5" t="s">
        <v>219</v>
      </c>
      <c r="I892" s="5" t="s">
        <v>220</v>
      </c>
      <c r="J892" s="5" t="s">
        <v>220</v>
      </c>
      <c r="K892" s="5" t="s">
        <v>37</v>
      </c>
      <c r="L892" s="5" t="s">
        <v>4707</v>
      </c>
      <c r="M892" s="5" t="s">
        <v>4708</v>
      </c>
      <c r="N892" s="5" t="s">
        <v>4708</v>
      </c>
      <c r="O892" s="5" t="s">
        <v>4709</v>
      </c>
      <c r="P892" s="5" t="s">
        <v>4710</v>
      </c>
      <c r="Q892" s="5" t="s">
        <v>41</v>
      </c>
      <c r="R892" s="5"/>
      <c r="S892" s="5"/>
      <c r="T892" s="5"/>
      <c r="U892" s="5"/>
      <c r="V892" s="5"/>
      <c r="W892" s="5"/>
      <c r="X892" s="5"/>
      <c r="Y892" s="5"/>
      <c r="Z892" s="5"/>
      <c r="AA892" s="5">
        <v>39963</v>
      </c>
      <c r="AB892" s="5">
        <v>10000</v>
      </c>
      <c r="AC892" s="6">
        <v>43599</v>
      </c>
      <c r="AD892" s="5" t="s">
        <v>42</v>
      </c>
      <c r="AE892" s="5" t="s">
        <v>4711</v>
      </c>
      <c r="AF892" s="5">
        <v>0</v>
      </c>
    </row>
    <row r="893" spans="1:32" x14ac:dyDescent="0.3">
      <c r="A893" s="3">
        <v>887</v>
      </c>
      <c r="B893" s="3" t="str">
        <f>"201800120922"</f>
        <v>201800120922</v>
      </c>
      <c r="C893" s="3" t="str">
        <f>"61799"</f>
        <v>61799</v>
      </c>
      <c r="D893" s="3" t="s">
        <v>4712</v>
      </c>
      <c r="E893" s="3">
        <v>20486107902</v>
      </c>
      <c r="F893" s="3" t="s">
        <v>1081</v>
      </c>
      <c r="G893" s="3" t="s">
        <v>4713</v>
      </c>
      <c r="H893" s="3" t="s">
        <v>108</v>
      </c>
      <c r="I893" s="3" t="s">
        <v>647</v>
      </c>
      <c r="J893" s="3" t="s">
        <v>1117</v>
      </c>
      <c r="K893" s="3" t="s">
        <v>37</v>
      </c>
      <c r="L893" s="3" t="s">
        <v>72</v>
      </c>
      <c r="M893" s="3" t="s">
        <v>102</v>
      </c>
      <c r="N893" s="3" t="s">
        <v>51</v>
      </c>
      <c r="O893" s="3" t="s">
        <v>51</v>
      </c>
      <c r="P893" s="3" t="s">
        <v>50</v>
      </c>
      <c r="Q893" s="3" t="s">
        <v>78</v>
      </c>
      <c r="R893" s="3"/>
      <c r="S893" s="3"/>
      <c r="T893" s="3"/>
      <c r="U893" s="3"/>
      <c r="V893" s="3"/>
      <c r="W893" s="3"/>
      <c r="X893" s="3"/>
      <c r="Y893" s="3"/>
      <c r="Z893" s="3"/>
      <c r="AA893" s="3">
        <v>28000</v>
      </c>
      <c r="AB893" s="3">
        <v>3200</v>
      </c>
      <c r="AC893" s="4">
        <v>43303</v>
      </c>
      <c r="AD893" s="3" t="s">
        <v>42</v>
      </c>
      <c r="AE893" s="3" t="s">
        <v>1083</v>
      </c>
      <c r="AF893" s="3">
        <v>720</v>
      </c>
    </row>
    <row r="894" spans="1:32" ht="27.95" x14ac:dyDescent="0.3">
      <c r="A894" s="5">
        <v>888</v>
      </c>
      <c r="B894" s="5" t="str">
        <f>"201900139708"</f>
        <v>201900139708</v>
      </c>
      <c r="C894" s="5" t="str">
        <f>"111583"</f>
        <v>111583</v>
      </c>
      <c r="D894" s="5" t="s">
        <v>4714</v>
      </c>
      <c r="E894" s="5">
        <v>20568051506</v>
      </c>
      <c r="F894" s="5" t="s">
        <v>4715</v>
      </c>
      <c r="G894" s="5" t="s">
        <v>4716</v>
      </c>
      <c r="H894" s="5" t="s">
        <v>108</v>
      </c>
      <c r="I894" s="5" t="s">
        <v>598</v>
      </c>
      <c r="J894" s="5" t="s">
        <v>618</v>
      </c>
      <c r="K894" s="5" t="s">
        <v>37</v>
      </c>
      <c r="L894" s="5" t="s">
        <v>4717</v>
      </c>
      <c r="M894" s="5" t="s">
        <v>4718</v>
      </c>
      <c r="N894" s="5" t="s">
        <v>94</v>
      </c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>
        <v>10357</v>
      </c>
      <c r="AB894" s="5">
        <v>5000</v>
      </c>
      <c r="AC894" s="6">
        <v>43711</v>
      </c>
      <c r="AD894" s="5" t="s">
        <v>42</v>
      </c>
      <c r="AE894" s="5" t="s">
        <v>4719</v>
      </c>
      <c r="AF894" s="5">
        <v>0</v>
      </c>
    </row>
    <row r="895" spans="1:32" ht="41.95" x14ac:dyDescent="0.3">
      <c r="A895" s="3">
        <v>889</v>
      </c>
      <c r="B895" s="3" t="str">
        <f>"202000054060"</f>
        <v>202000054060</v>
      </c>
      <c r="C895" s="3" t="str">
        <f>"131229"</f>
        <v>131229</v>
      </c>
      <c r="D895" s="3" t="s">
        <v>4720</v>
      </c>
      <c r="E895" s="3">
        <v>20525770711</v>
      </c>
      <c r="F895" s="3" t="s">
        <v>4721</v>
      </c>
      <c r="G895" s="3" t="s">
        <v>4722</v>
      </c>
      <c r="H895" s="3" t="s">
        <v>187</v>
      </c>
      <c r="I895" s="3" t="s">
        <v>2570</v>
      </c>
      <c r="J895" s="3" t="s">
        <v>2570</v>
      </c>
      <c r="K895" s="3" t="s">
        <v>37</v>
      </c>
      <c r="L895" s="3" t="s">
        <v>110</v>
      </c>
      <c r="M895" s="3" t="s">
        <v>110</v>
      </c>
      <c r="N895" s="3" t="s">
        <v>682</v>
      </c>
      <c r="O895" s="3" t="s">
        <v>4723</v>
      </c>
      <c r="P895" s="3" t="s">
        <v>669</v>
      </c>
      <c r="Q895" s="3" t="s">
        <v>4724</v>
      </c>
      <c r="R895" s="3" t="s">
        <v>4725</v>
      </c>
      <c r="S895" s="3" t="s">
        <v>248</v>
      </c>
      <c r="T895" s="3"/>
      <c r="U895" s="3"/>
      <c r="V895" s="3"/>
      <c r="W895" s="3"/>
      <c r="X895" s="3"/>
      <c r="Y895" s="3"/>
      <c r="Z895" s="3"/>
      <c r="AA895" s="3">
        <v>40550</v>
      </c>
      <c r="AB895" s="3">
        <v>3000</v>
      </c>
      <c r="AC895" s="4">
        <v>43955</v>
      </c>
      <c r="AD895" s="3" t="s">
        <v>42</v>
      </c>
      <c r="AE895" s="3" t="s">
        <v>4726</v>
      </c>
      <c r="AF895" s="3">
        <v>720</v>
      </c>
    </row>
    <row r="896" spans="1:32" ht="41.95" x14ac:dyDescent="0.3">
      <c r="A896" s="5">
        <v>890</v>
      </c>
      <c r="B896" s="5" t="str">
        <f>"201600012935"</f>
        <v>201600012935</v>
      </c>
      <c r="C896" s="5" t="str">
        <f>"44109"</f>
        <v>44109</v>
      </c>
      <c r="D896" s="5" t="s">
        <v>4727</v>
      </c>
      <c r="E896" s="5">
        <v>20506151547</v>
      </c>
      <c r="F896" s="5" t="s">
        <v>1522</v>
      </c>
      <c r="G896" s="5" t="s">
        <v>4728</v>
      </c>
      <c r="H896" s="5" t="s">
        <v>219</v>
      </c>
      <c r="I896" s="5" t="s">
        <v>220</v>
      </c>
      <c r="J896" s="5" t="s">
        <v>220</v>
      </c>
      <c r="K896" s="5" t="s">
        <v>37</v>
      </c>
      <c r="L896" s="5" t="s">
        <v>4729</v>
      </c>
      <c r="M896" s="5" t="s">
        <v>847</v>
      </c>
      <c r="N896" s="5" t="s">
        <v>120</v>
      </c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>
        <v>12000</v>
      </c>
      <c r="AB896" s="5">
        <v>3500</v>
      </c>
      <c r="AC896" s="6">
        <v>42401</v>
      </c>
      <c r="AD896" s="5" t="s">
        <v>42</v>
      </c>
      <c r="AE896" s="5" t="s">
        <v>2450</v>
      </c>
      <c r="AF896" s="5">
        <v>0</v>
      </c>
    </row>
    <row r="897" spans="1:32" x14ac:dyDescent="0.3">
      <c r="A897" s="3">
        <v>891</v>
      </c>
      <c r="B897" s="3" t="str">
        <f>"202000054061"</f>
        <v>202000054061</v>
      </c>
      <c r="C897" s="3" t="str">
        <f>"84210"</f>
        <v>84210</v>
      </c>
      <c r="D897" s="3" t="s">
        <v>4730</v>
      </c>
      <c r="E897" s="3">
        <v>20102314698</v>
      </c>
      <c r="F897" s="3" t="s">
        <v>4731</v>
      </c>
      <c r="G897" s="3" t="s">
        <v>4732</v>
      </c>
      <c r="H897" s="3" t="s">
        <v>187</v>
      </c>
      <c r="I897" s="3" t="s">
        <v>187</v>
      </c>
      <c r="J897" s="3" t="s">
        <v>187</v>
      </c>
      <c r="K897" s="3" t="s">
        <v>37</v>
      </c>
      <c r="L897" s="3" t="s">
        <v>102</v>
      </c>
      <c r="M897" s="3" t="s">
        <v>381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>
        <v>5000</v>
      </c>
      <c r="AB897" s="3">
        <v>2000</v>
      </c>
      <c r="AC897" s="4">
        <v>43968</v>
      </c>
      <c r="AD897" s="3" t="s">
        <v>42</v>
      </c>
      <c r="AE897" s="3" t="s">
        <v>4733</v>
      </c>
      <c r="AF897" s="3">
        <v>720</v>
      </c>
    </row>
    <row r="898" spans="1:32" x14ac:dyDescent="0.3">
      <c r="A898" s="5">
        <v>892</v>
      </c>
      <c r="B898" s="5" t="str">
        <f>"202000054063"</f>
        <v>202000054063</v>
      </c>
      <c r="C898" s="5" t="str">
        <f>"8871"</f>
        <v>8871</v>
      </c>
      <c r="D898" s="5" t="s">
        <v>4734</v>
      </c>
      <c r="E898" s="5">
        <v>20526380381</v>
      </c>
      <c r="F898" s="5" t="s">
        <v>4735</v>
      </c>
      <c r="G898" s="5" t="s">
        <v>4736</v>
      </c>
      <c r="H898" s="5" t="s">
        <v>187</v>
      </c>
      <c r="I898" s="5" t="s">
        <v>2570</v>
      </c>
      <c r="J898" s="5" t="s">
        <v>2570</v>
      </c>
      <c r="K898" s="5" t="s">
        <v>37</v>
      </c>
      <c r="L898" s="5" t="s">
        <v>172</v>
      </c>
      <c r="M898" s="5" t="s">
        <v>172</v>
      </c>
      <c r="N898" s="5" t="s">
        <v>174</v>
      </c>
      <c r="O898" s="5" t="s">
        <v>4737</v>
      </c>
      <c r="P898" s="5" t="s">
        <v>4738</v>
      </c>
      <c r="Q898" s="5" t="s">
        <v>103</v>
      </c>
      <c r="R898" s="5"/>
      <c r="S898" s="5"/>
      <c r="T898" s="5"/>
      <c r="U898" s="5"/>
      <c r="V898" s="5"/>
      <c r="W898" s="5"/>
      <c r="X898" s="5"/>
      <c r="Y898" s="5"/>
      <c r="Z898" s="5"/>
      <c r="AA898" s="5">
        <v>16290</v>
      </c>
      <c r="AB898" s="5">
        <v>2500</v>
      </c>
      <c r="AC898" s="6">
        <v>43955</v>
      </c>
      <c r="AD898" s="5" t="s">
        <v>42</v>
      </c>
      <c r="AE898" s="5" t="s">
        <v>4739</v>
      </c>
      <c r="AF898" s="5">
        <v>0</v>
      </c>
    </row>
    <row r="899" spans="1:32" ht="27.95" x14ac:dyDescent="0.3">
      <c r="A899" s="3">
        <v>893</v>
      </c>
      <c r="B899" s="3" t="str">
        <f>"202000017813"</f>
        <v>202000017813</v>
      </c>
      <c r="C899" s="3" t="str">
        <f>"92163"</f>
        <v>92163</v>
      </c>
      <c r="D899" s="3" t="s">
        <v>4740</v>
      </c>
      <c r="E899" s="3">
        <v>20529254360</v>
      </c>
      <c r="F899" s="3" t="s">
        <v>4741</v>
      </c>
      <c r="G899" s="3" t="s">
        <v>4742</v>
      </c>
      <c r="H899" s="3" t="s">
        <v>125</v>
      </c>
      <c r="I899" s="3" t="s">
        <v>509</v>
      </c>
      <c r="J899" s="3" t="s">
        <v>510</v>
      </c>
      <c r="K899" s="3" t="s">
        <v>37</v>
      </c>
      <c r="L899" s="3" t="s">
        <v>74</v>
      </c>
      <c r="M899" s="3" t="s">
        <v>322</v>
      </c>
      <c r="N899" s="3" t="s">
        <v>204</v>
      </c>
      <c r="O899" s="3" t="s">
        <v>94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>
        <v>6000</v>
      </c>
      <c r="AB899" s="3">
        <v>5000</v>
      </c>
      <c r="AC899" s="4">
        <v>43864</v>
      </c>
      <c r="AD899" s="4">
        <v>44230</v>
      </c>
      <c r="AE899" s="3" t="s">
        <v>1595</v>
      </c>
      <c r="AF899" s="3">
        <v>200</v>
      </c>
    </row>
    <row r="900" spans="1:32" ht="27.95" x14ac:dyDescent="0.3">
      <c r="A900" s="5">
        <v>894</v>
      </c>
      <c r="B900" s="5" t="str">
        <f>"201900216452"</f>
        <v>201900216452</v>
      </c>
      <c r="C900" s="5" t="str">
        <f>"148527"</f>
        <v>148527</v>
      </c>
      <c r="D900" s="5" t="s">
        <v>4743</v>
      </c>
      <c r="E900" s="5">
        <v>20604854912</v>
      </c>
      <c r="F900" s="5" t="s">
        <v>4744</v>
      </c>
      <c r="G900" s="5" t="s">
        <v>4745</v>
      </c>
      <c r="H900" s="5" t="s">
        <v>36</v>
      </c>
      <c r="I900" s="5" t="s">
        <v>409</v>
      </c>
      <c r="J900" s="5" t="s">
        <v>409</v>
      </c>
      <c r="K900" s="5" t="s">
        <v>37</v>
      </c>
      <c r="L900" s="5" t="s">
        <v>63</v>
      </c>
      <c r="M900" s="5" t="s">
        <v>262</v>
      </c>
      <c r="N900" s="5" t="s">
        <v>161</v>
      </c>
      <c r="O900" s="5" t="s">
        <v>263</v>
      </c>
      <c r="P900" s="5" t="s">
        <v>154</v>
      </c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>
        <v>24000</v>
      </c>
      <c r="AB900" s="5">
        <v>6000</v>
      </c>
      <c r="AC900" s="6">
        <v>43838</v>
      </c>
      <c r="AD900" s="5" t="s">
        <v>42</v>
      </c>
      <c r="AE900" s="5" t="s">
        <v>4746</v>
      </c>
      <c r="AF900" s="5">
        <v>0</v>
      </c>
    </row>
    <row r="901" spans="1:32" ht="27.95" x14ac:dyDescent="0.3">
      <c r="A901" s="3">
        <v>895</v>
      </c>
      <c r="B901" s="3" t="str">
        <f>"202000095220"</f>
        <v>202000095220</v>
      </c>
      <c r="C901" s="3" t="str">
        <f>"146763"</f>
        <v>146763</v>
      </c>
      <c r="D901" s="3" t="s">
        <v>4747</v>
      </c>
      <c r="E901" s="3">
        <v>20603555105</v>
      </c>
      <c r="F901" s="3" t="s">
        <v>4748</v>
      </c>
      <c r="G901" s="3" t="s">
        <v>4749</v>
      </c>
      <c r="H901" s="3" t="s">
        <v>58</v>
      </c>
      <c r="I901" s="3" t="s">
        <v>4750</v>
      </c>
      <c r="J901" s="3" t="s">
        <v>4751</v>
      </c>
      <c r="K901" s="3" t="s">
        <v>37</v>
      </c>
      <c r="L901" s="3" t="s">
        <v>387</v>
      </c>
      <c r="M901" s="3" t="s">
        <v>2528</v>
      </c>
      <c r="N901" s="3" t="s">
        <v>94</v>
      </c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>
        <v>18000</v>
      </c>
      <c r="AB901" s="3">
        <v>5000</v>
      </c>
      <c r="AC901" s="4">
        <v>44047</v>
      </c>
      <c r="AD901" s="3" t="s">
        <v>42</v>
      </c>
      <c r="AE901" s="3" t="s">
        <v>4752</v>
      </c>
      <c r="AF901" s="3">
        <v>0</v>
      </c>
    </row>
    <row r="902" spans="1:32" ht="41.95" x14ac:dyDescent="0.3">
      <c r="A902" s="5">
        <v>896</v>
      </c>
      <c r="B902" s="5" t="str">
        <f>"201900105494"</f>
        <v>201900105494</v>
      </c>
      <c r="C902" s="5" t="str">
        <f>"132801"</f>
        <v>132801</v>
      </c>
      <c r="D902" s="5" t="s">
        <v>4753</v>
      </c>
      <c r="E902" s="5">
        <v>20603121644</v>
      </c>
      <c r="F902" s="5" t="s">
        <v>4754</v>
      </c>
      <c r="G902" s="5" t="s">
        <v>4755</v>
      </c>
      <c r="H902" s="5" t="s">
        <v>58</v>
      </c>
      <c r="I902" s="5" t="s">
        <v>554</v>
      </c>
      <c r="J902" s="5" t="s">
        <v>4756</v>
      </c>
      <c r="K902" s="5" t="s">
        <v>37</v>
      </c>
      <c r="L902" s="5" t="s">
        <v>4757</v>
      </c>
      <c r="M902" s="5" t="s">
        <v>166</v>
      </c>
      <c r="N902" s="5" t="s">
        <v>94</v>
      </c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>
        <v>20000</v>
      </c>
      <c r="AB902" s="5">
        <v>5000</v>
      </c>
      <c r="AC902" s="6">
        <v>43654</v>
      </c>
      <c r="AD902" s="5" t="s">
        <v>42</v>
      </c>
      <c r="AE902" s="5" t="s">
        <v>4758</v>
      </c>
      <c r="AF902" s="5">
        <v>0</v>
      </c>
    </row>
    <row r="903" spans="1:32" x14ac:dyDescent="0.3">
      <c r="A903" s="3">
        <v>897</v>
      </c>
      <c r="B903" s="3" t="str">
        <f>"201600013104"</f>
        <v>201600013104</v>
      </c>
      <c r="C903" s="3" t="str">
        <f>"19910"</f>
        <v>19910</v>
      </c>
      <c r="D903" s="3" t="s">
        <v>4759</v>
      </c>
      <c r="E903" s="3">
        <v>20516290197</v>
      </c>
      <c r="F903" s="3" t="s">
        <v>4760</v>
      </c>
      <c r="G903" s="3" t="s">
        <v>4761</v>
      </c>
      <c r="H903" s="3" t="s">
        <v>108</v>
      </c>
      <c r="I903" s="3" t="s">
        <v>852</v>
      </c>
      <c r="J903" s="3" t="s">
        <v>2702</v>
      </c>
      <c r="K903" s="3" t="s">
        <v>37</v>
      </c>
      <c r="L903" s="3" t="s">
        <v>172</v>
      </c>
      <c r="M903" s="3" t="s">
        <v>4495</v>
      </c>
      <c r="N903" s="3" t="s">
        <v>4762</v>
      </c>
      <c r="O903" s="3" t="s">
        <v>94</v>
      </c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>
        <v>7600</v>
      </c>
      <c r="AB903" s="3">
        <v>5000</v>
      </c>
      <c r="AC903" s="4">
        <v>42436</v>
      </c>
      <c r="AD903" s="3" t="s">
        <v>42</v>
      </c>
      <c r="AE903" s="3" t="s">
        <v>4763</v>
      </c>
      <c r="AF903" s="3">
        <v>480</v>
      </c>
    </row>
    <row r="904" spans="1:32" ht="27.95" x14ac:dyDescent="0.3">
      <c r="A904" s="5">
        <v>898</v>
      </c>
      <c r="B904" s="5" t="str">
        <f>"201900166410"</f>
        <v>201900166410</v>
      </c>
      <c r="C904" s="5" t="str">
        <f>"9099"</f>
        <v>9099</v>
      </c>
      <c r="D904" s="5" t="s">
        <v>4764</v>
      </c>
      <c r="E904" s="5">
        <v>20539718658</v>
      </c>
      <c r="F904" s="5" t="s">
        <v>4765</v>
      </c>
      <c r="G904" s="5" t="s">
        <v>4766</v>
      </c>
      <c r="H904" s="5" t="s">
        <v>219</v>
      </c>
      <c r="I904" s="5" t="s">
        <v>220</v>
      </c>
      <c r="J904" s="5" t="s">
        <v>302</v>
      </c>
      <c r="K904" s="5" t="s">
        <v>37</v>
      </c>
      <c r="L904" s="5" t="s">
        <v>1529</v>
      </c>
      <c r="M904" s="5" t="s">
        <v>4767</v>
      </c>
      <c r="N904" s="5" t="s">
        <v>4768</v>
      </c>
      <c r="O904" s="5" t="s">
        <v>4769</v>
      </c>
      <c r="P904" s="5" t="s">
        <v>4770</v>
      </c>
      <c r="Q904" s="5" t="s">
        <v>248</v>
      </c>
      <c r="R904" s="5"/>
      <c r="S904" s="5"/>
      <c r="T904" s="5"/>
      <c r="U904" s="5"/>
      <c r="V904" s="5"/>
      <c r="W904" s="5"/>
      <c r="X904" s="5"/>
      <c r="Y904" s="5"/>
      <c r="Z904" s="5"/>
      <c r="AA904" s="5">
        <v>13500</v>
      </c>
      <c r="AB904" s="5">
        <v>3000</v>
      </c>
      <c r="AC904" s="6">
        <v>43759</v>
      </c>
      <c r="AD904" s="5" t="s">
        <v>42</v>
      </c>
      <c r="AE904" s="5" t="s">
        <v>4771</v>
      </c>
      <c r="AF904" s="5">
        <v>0</v>
      </c>
    </row>
    <row r="905" spans="1:32" ht="27.95" x14ac:dyDescent="0.3">
      <c r="A905" s="3">
        <v>899</v>
      </c>
      <c r="B905" s="3" t="str">
        <f>"201500046471"</f>
        <v>201500046471</v>
      </c>
      <c r="C905" s="3" t="str">
        <f>"114837"</f>
        <v>114837</v>
      </c>
      <c r="D905" s="3" t="s">
        <v>4772</v>
      </c>
      <c r="E905" s="3">
        <v>20538950344</v>
      </c>
      <c r="F905" s="3" t="s">
        <v>4773</v>
      </c>
      <c r="G905" s="3" t="s">
        <v>4774</v>
      </c>
      <c r="H905" s="3" t="s">
        <v>36</v>
      </c>
      <c r="I905" s="3" t="s">
        <v>196</v>
      </c>
      <c r="J905" s="3" t="s">
        <v>196</v>
      </c>
      <c r="K905" s="3" t="s">
        <v>37</v>
      </c>
      <c r="L905" s="3" t="s">
        <v>593</v>
      </c>
      <c r="M905" s="3" t="s">
        <v>4775</v>
      </c>
      <c r="N905" s="3" t="s">
        <v>78</v>
      </c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>
        <v>12000</v>
      </c>
      <c r="AB905" s="3">
        <v>3200</v>
      </c>
      <c r="AC905" s="4">
        <v>42132</v>
      </c>
      <c r="AD905" s="3" t="s">
        <v>42</v>
      </c>
      <c r="AE905" s="3" t="s">
        <v>4776</v>
      </c>
      <c r="AF905" s="3">
        <v>0</v>
      </c>
    </row>
    <row r="906" spans="1:32" ht="27.95" x14ac:dyDescent="0.3">
      <c r="A906" s="5">
        <v>900</v>
      </c>
      <c r="B906" s="5" t="str">
        <f>"202000082023"</f>
        <v>202000082023</v>
      </c>
      <c r="C906" s="5" t="str">
        <f>"45716"</f>
        <v>45716</v>
      </c>
      <c r="D906" s="5" t="s">
        <v>4777</v>
      </c>
      <c r="E906" s="5">
        <v>20134572630</v>
      </c>
      <c r="F906" s="5" t="s">
        <v>4778</v>
      </c>
      <c r="G906" s="5" t="s">
        <v>4779</v>
      </c>
      <c r="H906" s="5" t="s">
        <v>108</v>
      </c>
      <c r="I906" s="5" t="s">
        <v>598</v>
      </c>
      <c r="J906" s="5" t="s">
        <v>599</v>
      </c>
      <c r="K906" s="5" t="s">
        <v>37</v>
      </c>
      <c r="L906" s="5" t="s">
        <v>4780</v>
      </c>
      <c r="M906" s="5" t="s">
        <v>4781</v>
      </c>
      <c r="N906" s="5" t="s">
        <v>4782</v>
      </c>
      <c r="O906" s="5" t="s">
        <v>94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>
        <v>24370</v>
      </c>
      <c r="AB906" s="5">
        <v>5000</v>
      </c>
      <c r="AC906" s="6">
        <v>44026</v>
      </c>
      <c r="AD906" s="6">
        <v>44391</v>
      </c>
      <c r="AE906" s="5" t="s">
        <v>4783</v>
      </c>
      <c r="AF906" s="5">
        <v>0</v>
      </c>
    </row>
    <row r="907" spans="1:32" ht="27.95" x14ac:dyDescent="0.3">
      <c r="A907" s="3">
        <v>901</v>
      </c>
      <c r="B907" s="3" t="str">
        <f>"202000058375"</f>
        <v>202000058375</v>
      </c>
      <c r="C907" s="3" t="str">
        <f>"113104"</f>
        <v>113104</v>
      </c>
      <c r="D907" s="3" t="s">
        <v>4784</v>
      </c>
      <c r="E907" s="3">
        <v>20601301688</v>
      </c>
      <c r="F907" s="3" t="s">
        <v>4785</v>
      </c>
      <c r="G907" s="3" t="s">
        <v>4786</v>
      </c>
      <c r="H907" s="3" t="s">
        <v>150</v>
      </c>
      <c r="I907" s="3" t="s">
        <v>2999</v>
      </c>
      <c r="J907" s="3" t="s">
        <v>4603</v>
      </c>
      <c r="K907" s="3" t="s">
        <v>37</v>
      </c>
      <c r="L907" s="3" t="s">
        <v>1739</v>
      </c>
      <c r="M907" s="3" t="s">
        <v>4787</v>
      </c>
      <c r="N907" s="3" t="s">
        <v>154</v>
      </c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>
        <v>15800</v>
      </c>
      <c r="AB907" s="3">
        <v>6000</v>
      </c>
      <c r="AC907" s="4">
        <v>43972</v>
      </c>
      <c r="AD907" s="3" t="s">
        <v>42</v>
      </c>
      <c r="AE907" s="3" t="s">
        <v>2628</v>
      </c>
      <c r="AF907" s="3">
        <v>720</v>
      </c>
    </row>
    <row r="908" spans="1:32" ht="27.95" x14ac:dyDescent="0.3">
      <c r="A908" s="5">
        <v>902</v>
      </c>
      <c r="B908" s="5" t="str">
        <f>"201700114916"</f>
        <v>201700114916</v>
      </c>
      <c r="C908" s="5" t="str">
        <f>"8676"</f>
        <v>8676</v>
      </c>
      <c r="D908" s="5" t="s">
        <v>4788</v>
      </c>
      <c r="E908" s="5">
        <v>20480747829</v>
      </c>
      <c r="F908" s="5" t="s">
        <v>4789</v>
      </c>
      <c r="G908" s="5" t="s">
        <v>4790</v>
      </c>
      <c r="H908" s="5" t="s">
        <v>36</v>
      </c>
      <c r="I908" s="5" t="s">
        <v>36</v>
      </c>
      <c r="J908" s="5" t="s">
        <v>761</v>
      </c>
      <c r="K908" s="5" t="s">
        <v>37</v>
      </c>
      <c r="L908" s="5" t="s">
        <v>2487</v>
      </c>
      <c r="M908" s="5" t="s">
        <v>4791</v>
      </c>
      <c r="N908" s="5" t="s">
        <v>54</v>
      </c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>
        <v>7950</v>
      </c>
      <c r="AB908" s="5">
        <v>4000</v>
      </c>
      <c r="AC908" s="6">
        <v>42946</v>
      </c>
      <c r="AD908" s="5" t="s">
        <v>42</v>
      </c>
      <c r="AE908" s="5" t="s">
        <v>1263</v>
      </c>
      <c r="AF908" s="5">
        <v>0</v>
      </c>
    </row>
    <row r="909" spans="1:32" x14ac:dyDescent="0.3">
      <c r="A909" s="3">
        <v>903</v>
      </c>
      <c r="B909" s="3" t="str">
        <f>"201800037342"</f>
        <v>201800037342</v>
      </c>
      <c r="C909" s="3" t="str">
        <f>"134866"</f>
        <v>134866</v>
      </c>
      <c r="D909" s="3" t="s">
        <v>4792</v>
      </c>
      <c r="E909" s="3">
        <v>20104625500</v>
      </c>
      <c r="F909" s="3" t="s">
        <v>4793</v>
      </c>
      <c r="G909" s="3" t="s">
        <v>4794</v>
      </c>
      <c r="H909" s="3" t="s">
        <v>47</v>
      </c>
      <c r="I909" s="3" t="s">
        <v>159</v>
      </c>
      <c r="J909" s="3" t="s">
        <v>346</v>
      </c>
      <c r="K909" s="3" t="s">
        <v>37</v>
      </c>
      <c r="L909" s="3" t="s">
        <v>166</v>
      </c>
      <c r="M909" s="3" t="s">
        <v>61</v>
      </c>
      <c r="N909" s="3" t="s">
        <v>60</v>
      </c>
      <c r="O909" s="3" t="s">
        <v>1686</v>
      </c>
      <c r="P909" s="3" t="s">
        <v>2362</v>
      </c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>
        <v>34000</v>
      </c>
      <c r="AB909" s="3">
        <v>6500</v>
      </c>
      <c r="AC909" s="4">
        <v>43168</v>
      </c>
      <c r="AD909" s="3" t="s">
        <v>42</v>
      </c>
      <c r="AE909" s="3" t="s">
        <v>4795</v>
      </c>
      <c r="AF909" s="3">
        <v>0</v>
      </c>
    </row>
    <row r="910" spans="1:32" ht="27.95" x14ac:dyDescent="0.3">
      <c r="A910" s="5">
        <v>904</v>
      </c>
      <c r="B910" s="5" t="str">
        <f>"201800139996"</f>
        <v>201800139996</v>
      </c>
      <c r="C910" s="5" t="str">
        <f>"16725"</f>
        <v>16725</v>
      </c>
      <c r="D910" s="5" t="s">
        <v>4796</v>
      </c>
      <c r="E910" s="5">
        <v>20137374448</v>
      </c>
      <c r="F910" s="5" t="s">
        <v>4797</v>
      </c>
      <c r="G910" s="5" t="s">
        <v>4798</v>
      </c>
      <c r="H910" s="5" t="s">
        <v>58</v>
      </c>
      <c r="I910" s="5" t="s">
        <v>58</v>
      </c>
      <c r="J910" s="5" t="s">
        <v>2562</v>
      </c>
      <c r="K910" s="5" t="s">
        <v>37</v>
      </c>
      <c r="L910" s="5" t="s">
        <v>3200</v>
      </c>
      <c r="M910" s="5" t="s">
        <v>4799</v>
      </c>
      <c r="N910" s="5" t="s">
        <v>4800</v>
      </c>
      <c r="O910" s="5" t="s">
        <v>54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>
        <v>24000</v>
      </c>
      <c r="AB910" s="5">
        <v>4000</v>
      </c>
      <c r="AC910" s="6">
        <v>43336</v>
      </c>
      <c r="AD910" s="5" t="s">
        <v>42</v>
      </c>
      <c r="AE910" s="5" t="s">
        <v>4801</v>
      </c>
      <c r="AF910" s="5">
        <v>720</v>
      </c>
    </row>
    <row r="911" spans="1:32" ht="27.95" x14ac:dyDescent="0.3">
      <c r="A911" s="3">
        <v>905</v>
      </c>
      <c r="B911" s="3" t="str">
        <f>"202000060993"</f>
        <v>202000060993</v>
      </c>
      <c r="C911" s="3" t="str">
        <f>"15732"</f>
        <v>15732</v>
      </c>
      <c r="D911" s="3" t="s">
        <v>4802</v>
      </c>
      <c r="E911" s="3">
        <v>20347237028</v>
      </c>
      <c r="F911" s="3" t="s">
        <v>4803</v>
      </c>
      <c r="G911" s="3" t="s">
        <v>4804</v>
      </c>
      <c r="H911" s="3" t="s">
        <v>187</v>
      </c>
      <c r="I911" s="3" t="s">
        <v>187</v>
      </c>
      <c r="J911" s="3" t="s">
        <v>187</v>
      </c>
      <c r="K911" s="3" t="s">
        <v>37</v>
      </c>
      <c r="L911" s="3" t="s">
        <v>830</v>
      </c>
      <c r="M911" s="3" t="s">
        <v>63</v>
      </c>
      <c r="N911" s="3" t="s">
        <v>161</v>
      </c>
      <c r="O911" s="3" t="s">
        <v>262</v>
      </c>
      <c r="P911" s="3" t="s">
        <v>555</v>
      </c>
      <c r="Q911" s="3" t="s">
        <v>78</v>
      </c>
      <c r="R911" s="3"/>
      <c r="S911" s="3"/>
      <c r="T911" s="3"/>
      <c r="U911" s="3"/>
      <c r="V911" s="3"/>
      <c r="W911" s="3"/>
      <c r="X911" s="3"/>
      <c r="Y911" s="3"/>
      <c r="Z911" s="3"/>
      <c r="AA911" s="3">
        <v>24000</v>
      </c>
      <c r="AB911" s="3">
        <v>3200</v>
      </c>
      <c r="AC911" s="4">
        <v>44007</v>
      </c>
      <c r="AD911" s="3" t="s">
        <v>42</v>
      </c>
      <c r="AE911" s="3" t="s">
        <v>415</v>
      </c>
      <c r="AF911" s="3">
        <v>720</v>
      </c>
    </row>
    <row r="912" spans="1:32" ht="27.95" x14ac:dyDescent="0.3">
      <c r="A912" s="5">
        <v>906</v>
      </c>
      <c r="B912" s="5" t="str">
        <f>"201900204009"</f>
        <v>201900204009</v>
      </c>
      <c r="C912" s="5" t="str">
        <f>"21205"</f>
        <v>21205</v>
      </c>
      <c r="D912" s="5" t="s">
        <v>4805</v>
      </c>
      <c r="E912" s="5">
        <v>20602368140</v>
      </c>
      <c r="F912" s="5" t="s">
        <v>4806</v>
      </c>
      <c r="G912" s="5" t="s">
        <v>4807</v>
      </c>
      <c r="H912" s="5" t="s">
        <v>58</v>
      </c>
      <c r="I912" s="5" t="s">
        <v>823</v>
      </c>
      <c r="J912" s="5" t="s">
        <v>2916</v>
      </c>
      <c r="K912" s="5" t="s">
        <v>37</v>
      </c>
      <c r="L912" s="5" t="s">
        <v>4808</v>
      </c>
      <c r="M912" s="5" t="s">
        <v>4809</v>
      </c>
      <c r="N912" s="5" t="s">
        <v>248</v>
      </c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>
        <v>20000</v>
      </c>
      <c r="AB912" s="5">
        <v>3000</v>
      </c>
      <c r="AC912" s="6">
        <v>43812</v>
      </c>
      <c r="AD912" s="5" t="s">
        <v>42</v>
      </c>
      <c r="AE912" s="5" t="s">
        <v>4810</v>
      </c>
      <c r="AF912" s="5">
        <v>240</v>
      </c>
    </row>
    <row r="913" spans="1:32" x14ac:dyDescent="0.3">
      <c r="A913" s="3">
        <v>907</v>
      </c>
      <c r="B913" s="3" t="str">
        <f>"202000087177"</f>
        <v>202000087177</v>
      </c>
      <c r="C913" s="3" t="str">
        <f>"128791"</f>
        <v>128791</v>
      </c>
      <c r="D913" s="3" t="s">
        <v>4811</v>
      </c>
      <c r="E913" s="3">
        <v>10200597431</v>
      </c>
      <c r="F913" s="3" t="s">
        <v>4812</v>
      </c>
      <c r="G913" s="3" t="s">
        <v>4813</v>
      </c>
      <c r="H913" s="3" t="s">
        <v>108</v>
      </c>
      <c r="I913" s="3" t="s">
        <v>598</v>
      </c>
      <c r="J913" s="3" t="s">
        <v>4814</v>
      </c>
      <c r="K913" s="3" t="s">
        <v>37</v>
      </c>
      <c r="L913" s="3" t="s">
        <v>102</v>
      </c>
      <c r="M913" s="3" t="s">
        <v>49</v>
      </c>
      <c r="N913" s="3" t="s">
        <v>51</v>
      </c>
      <c r="O913" s="3" t="s">
        <v>78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>
        <v>15000</v>
      </c>
      <c r="AB913" s="3">
        <v>3200</v>
      </c>
      <c r="AC913" s="4">
        <v>44032</v>
      </c>
      <c r="AD913" s="4">
        <v>44397</v>
      </c>
      <c r="AE913" s="3" t="s">
        <v>4812</v>
      </c>
      <c r="AF913" s="3">
        <v>0</v>
      </c>
    </row>
    <row r="914" spans="1:32" x14ac:dyDescent="0.3">
      <c r="A914" s="5">
        <v>908</v>
      </c>
      <c r="B914" s="5" t="str">
        <f>"201800008316"</f>
        <v>201800008316</v>
      </c>
      <c r="C914" s="5" t="str">
        <f>"6743"</f>
        <v>6743</v>
      </c>
      <c r="D914" s="5" t="s">
        <v>4815</v>
      </c>
      <c r="E914" s="5">
        <v>20127765279</v>
      </c>
      <c r="F914" s="5" t="s">
        <v>1115</v>
      </c>
      <c r="G914" s="5" t="s">
        <v>4816</v>
      </c>
      <c r="H914" s="5" t="s">
        <v>58</v>
      </c>
      <c r="I914" s="5" t="s">
        <v>58</v>
      </c>
      <c r="J914" s="5" t="s">
        <v>4817</v>
      </c>
      <c r="K914" s="5" t="s">
        <v>37</v>
      </c>
      <c r="L914" s="5" t="s">
        <v>4818</v>
      </c>
      <c r="M914" s="5" t="s">
        <v>4819</v>
      </c>
      <c r="N914" s="5" t="s">
        <v>4820</v>
      </c>
      <c r="O914" s="5" t="s">
        <v>4821</v>
      </c>
      <c r="P914" s="5" t="s">
        <v>171</v>
      </c>
      <c r="Q914" s="5" t="s">
        <v>248</v>
      </c>
      <c r="R914" s="5"/>
      <c r="S914" s="5"/>
      <c r="T914" s="5"/>
      <c r="U914" s="5"/>
      <c r="V914" s="5"/>
      <c r="W914" s="5"/>
      <c r="X914" s="5"/>
      <c r="Y914" s="5"/>
      <c r="Z914" s="5"/>
      <c r="AA914" s="5">
        <v>35700</v>
      </c>
      <c r="AB914" s="5">
        <v>3000</v>
      </c>
      <c r="AC914" s="6">
        <v>43118</v>
      </c>
      <c r="AD914" s="5" t="s">
        <v>42</v>
      </c>
      <c r="AE914" s="5" t="s">
        <v>1374</v>
      </c>
      <c r="AF914" s="5">
        <v>240</v>
      </c>
    </row>
    <row r="915" spans="1:32" ht="27.95" x14ac:dyDescent="0.3">
      <c r="A915" s="3">
        <v>909</v>
      </c>
      <c r="B915" s="3" t="str">
        <f>"201900204001"</f>
        <v>201900204001</v>
      </c>
      <c r="C915" s="3" t="str">
        <f>"18570"</f>
        <v>18570</v>
      </c>
      <c r="D915" s="3" t="s">
        <v>4822</v>
      </c>
      <c r="E915" s="3">
        <v>20127765279</v>
      </c>
      <c r="F915" s="3" t="s">
        <v>1115</v>
      </c>
      <c r="G915" s="3" t="s">
        <v>4823</v>
      </c>
      <c r="H915" s="3" t="s">
        <v>47</v>
      </c>
      <c r="I915" s="3" t="s">
        <v>290</v>
      </c>
      <c r="J915" s="3" t="s">
        <v>290</v>
      </c>
      <c r="K915" s="3" t="s">
        <v>37</v>
      </c>
      <c r="L915" s="3" t="s">
        <v>166</v>
      </c>
      <c r="M915" s="3" t="s">
        <v>743</v>
      </c>
      <c r="N915" s="3" t="s">
        <v>51</v>
      </c>
      <c r="O915" s="3" t="s">
        <v>50</v>
      </c>
      <c r="P915" s="3" t="s">
        <v>120</v>
      </c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>
        <v>25000</v>
      </c>
      <c r="AB915" s="3">
        <v>3500</v>
      </c>
      <c r="AC915" s="4">
        <v>43809</v>
      </c>
      <c r="AD915" s="3" t="s">
        <v>42</v>
      </c>
      <c r="AE915" s="3" t="s">
        <v>279</v>
      </c>
      <c r="AF915" s="3">
        <v>240</v>
      </c>
    </row>
    <row r="916" spans="1:32" x14ac:dyDescent="0.3">
      <c r="A916" s="5">
        <v>910</v>
      </c>
      <c r="B916" s="5" t="str">
        <f>"201400127820"</f>
        <v>201400127820</v>
      </c>
      <c r="C916" s="5" t="str">
        <f>"109859"</f>
        <v>109859</v>
      </c>
      <c r="D916" s="5" t="s">
        <v>4824</v>
      </c>
      <c r="E916" s="5">
        <v>15318844035</v>
      </c>
      <c r="F916" s="5" t="s">
        <v>4825</v>
      </c>
      <c r="G916" s="5" t="s">
        <v>4826</v>
      </c>
      <c r="H916" s="5" t="s">
        <v>108</v>
      </c>
      <c r="I916" s="5" t="s">
        <v>109</v>
      </c>
      <c r="J916" s="5" t="s">
        <v>109</v>
      </c>
      <c r="K916" s="5" t="s">
        <v>37</v>
      </c>
      <c r="L916" s="5" t="s">
        <v>2060</v>
      </c>
      <c r="M916" s="5" t="s">
        <v>2990</v>
      </c>
      <c r="N916" s="5" t="s">
        <v>1279</v>
      </c>
      <c r="O916" s="5" t="s">
        <v>94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>
        <v>15400</v>
      </c>
      <c r="AB916" s="5">
        <v>5000</v>
      </c>
      <c r="AC916" s="6">
        <v>41914</v>
      </c>
      <c r="AD916" s="5" t="s">
        <v>42</v>
      </c>
      <c r="AE916" s="5" t="s">
        <v>4825</v>
      </c>
      <c r="AF916" s="5">
        <v>0</v>
      </c>
    </row>
    <row r="917" spans="1:32" x14ac:dyDescent="0.3">
      <c r="A917" s="3">
        <v>911</v>
      </c>
      <c r="B917" s="3" t="str">
        <f>"202000105035"</f>
        <v>202000105035</v>
      </c>
      <c r="C917" s="3" t="str">
        <f>"150633"</f>
        <v>150633</v>
      </c>
      <c r="D917" s="3" t="s">
        <v>4827</v>
      </c>
      <c r="E917" s="3">
        <v>20348303636</v>
      </c>
      <c r="F917" s="3" t="s">
        <v>2757</v>
      </c>
      <c r="G917" s="3" t="s">
        <v>4828</v>
      </c>
      <c r="H917" s="3" t="s">
        <v>58</v>
      </c>
      <c r="I917" s="3" t="s">
        <v>554</v>
      </c>
      <c r="J917" s="3" t="s">
        <v>4401</v>
      </c>
      <c r="K917" s="3" t="s">
        <v>37</v>
      </c>
      <c r="L917" s="3" t="s">
        <v>166</v>
      </c>
      <c r="M917" s="3" t="s">
        <v>51</v>
      </c>
      <c r="N917" s="3" t="s">
        <v>50</v>
      </c>
      <c r="O917" s="3" t="s">
        <v>743</v>
      </c>
      <c r="P917" s="3" t="s">
        <v>120</v>
      </c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>
        <v>25000</v>
      </c>
      <c r="AB917" s="3">
        <v>3500</v>
      </c>
      <c r="AC917" s="4">
        <v>44063</v>
      </c>
      <c r="AD917" s="3" t="s">
        <v>42</v>
      </c>
      <c r="AE917" s="3" t="s">
        <v>382</v>
      </c>
      <c r="AF917" s="3">
        <v>0</v>
      </c>
    </row>
    <row r="918" spans="1:32" ht="27.95" x14ac:dyDescent="0.3">
      <c r="A918" s="5">
        <v>912</v>
      </c>
      <c r="B918" s="5" t="str">
        <f>"201700130125"</f>
        <v>201700130125</v>
      </c>
      <c r="C918" s="5" t="str">
        <f>"7512"</f>
        <v>7512</v>
      </c>
      <c r="D918" s="5" t="s">
        <v>4829</v>
      </c>
      <c r="E918" s="5">
        <v>20127765279</v>
      </c>
      <c r="F918" s="5" t="s">
        <v>1115</v>
      </c>
      <c r="G918" s="5" t="s">
        <v>4830</v>
      </c>
      <c r="H918" s="5" t="s">
        <v>219</v>
      </c>
      <c r="I918" s="5" t="s">
        <v>220</v>
      </c>
      <c r="J918" s="5" t="s">
        <v>220</v>
      </c>
      <c r="K918" s="5" t="s">
        <v>37</v>
      </c>
      <c r="L918" s="5" t="s">
        <v>470</v>
      </c>
      <c r="M918" s="5" t="s">
        <v>1719</v>
      </c>
      <c r="N918" s="5" t="s">
        <v>4831</v>
      </c>
      <c r="O918" s="5" t="s">
        <v>248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>
        <v>24000</v>
      </c>
      <c r="AB918" s="5">
        <v>3000</v>
      </c>
      <c r="AC918" s="6">
        <v>42966</v>
      </c>
      <c r="AD918" s="5" t="s">
        <v>42</v>
      </c>
      <c r="AE918" s="5" t="s">
        <v>4832</v>
      </c>
      <c r="AF918" s="5">
        <v>720</v>
      </c>
    </row>
    <row r="919" spans="1:32" ht="27.95" x14ac:dyDescent="0.3">
      <c r="A919" s="3">
        <v>913</v>
      </c>
      <c r="B919" s="3" t="str">
        <f>"201900059404"</f>
        <v>201900059404</v>
      </c>
      <c r="C919" s="3" t="str">
        <f>"9620"</f>
        <v>9620</v>
      </c>
      <c r="D919" s="3" t="s">
        <v>4833</v>
      </c>
      <c r="E919" s="3">
        <v>20127765279</v>
      </c>
      <c r="F919" s="3" t="s">
        <v>1115</v>
      </c>
      <c r="G919" s="3" t="s">
        <v>4834</v>
      </c>
      <c r="H919" s="3" t="s">
        <v>36</v>
      </c>
      <c r="I919" s="3" t="s">
        <v>409</v>
      </c>
      <c r="J919" s="3" t="s">
        <v>738</v>
      </c>
      <c r="K919" s="3" t="s">
        <v>37</v>
      </c>
      <c r="L919" s="3" t="s">
        <v>4835</v>
      </c>
      <c r="M919" s="3" t="s">
        <v>4836</v>
      </c>
      <c r="N919" s="3" t="s">
        <v>4837</v>
      </c>
      <c r="O919" s="3" t="s">
        <v>4838</v>
      </c>
      <c r="P919" s="3" t="s">
        <v>103</v>
      </c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>
        <v>9588</v>
      </c>
      <c r="AB919" s="3">
        <v>2500</v>
      </c>
      <c r="AC919" s="4">
        <v>43566</v>
      </c>
      <c r="AD919" s="3" t="s">
        <v>42</v>
      </c>
      <c r="AE919" s="3" t="s">
        <v>279</v>
      </c>
      <c r="AF919" s="3">
        <v>0</v>
      </c>
    </row>
    <row r="920" spans="1:32" ht="27.95" x14ac:dyDescent="0.3">
      <c r="A920" s="5">
        <v>914</v>
      </c>
      <c r="B920" s="5" t="str">
        <f>"202000054051"</f>
        <v>202000054051</v>
      </c>
      <c r="C920" s="5" t="str">
        <f>"18561"</f>
        <v>18561</v>
      </c>
      <c r="D920" s="5" t="s">
        <v>4839</v>
      </c>
      <c r="E920" s="5">
        <v>20526276486</v>
      </c>
      <c r="F920" s="5" t="s">
        <v>4840</v>
      </c>
      <c r="G920" s="5" t="s">
        <v>4841</v>
      </c>
      <c r="H920" s="5" t="s">
        <v>187</v>
      </c>
      <c r="I920" s="5" t="s">
        <v>187</v>
      </c>
      <c r="J920" s="5" t="s">
        <v>357</v>
      </c>
      <c r="K920" s="5" t="s">
        <v>37</v>
      </c>
      <c r="L920" s="5" t="s">
        <v>4842</v>
      </c>
      <c r="M920" s="5" t="s">
        <v>2399</v>
      </c>
      <c r="N920" s="5" t="s">
        <v>3034</v>
      </c>
      <c r="O920" s="5" t="s">
        <v>190</v>
      </c>
      <c r="P920" s="5" t="s">
        <v>4843</v>
      </c>
      <c r="Q920" s="5" t="s">
        <v>63</v>
      </c>
      <c r="R920" s="5" t="s">
        <v>54</v>
      </c>
      <c r="S920" s="5"/>
      <c r="T920" s="5"/>
      <c r="U920" s="5"/>
      <c r="V920" s="5"/>
      <c r="W920" s="5"/>
      <c r="X920" s="5"/>
      <c r="Y920" s="5"/>
      <c r="Z920" s="5"/>
      <c r="AA920" s="5">
        <v>30060</v>
      </c>
      <c r="AB920" s="5">
        <v>4000</v>
      </c>
      <c r="AC920" s="6">
        <v>43954</v>
      </c>
      <c r="AD920" s="5" t="s">
        <v>42</v>
      </c>
      <c r="AE920" s="5" t="s">
        <v>192</v>
      </c>
      <c r="AF920" s="5">
        <v>0</v>
      </c>
    </row>
    <row r="921" spans="1:32" ht="27.95" x14ac:dyDescent="0.3">
      <c r="A921" s="3">
        <v>915</v>
      </c>
      <c r="B921" s="3" t="str">
        <f>"201800157699"</f>
        <v>201800157699</v>
      </c>
      <c r="C921" s="3" t="str">
        <f>"90469"</f>
        <v>90469</v>
      </c>
      <c r="D921" s="3" t="s">
        <v>4844</v>
      </c>
      <c r="E921" s="3">
        <v>20601342309</v>
      </c>
      <c r="F921" s="3" t="s">
        <v>4845</v>
      </c>
      <c r="G921" s="3" t="s">
        <v>4846</v>
      </c>
      <c r="H921" s="3" t="s">
        <v>47</v>
      </c>
      <c r="I921" s="3" t="s">
        <v>1038</v>
      </c>
      <c r="J921" s="3" t="s">
        <v>1038</v>
      </c>
      <c r="K921" s="3" t="s">
        <v>37</v>
      </c>
      <c r="L921" s="3" t="s">
        <v>670</v>
      </c>
      <c r="M921" s="3" t="s">
        <v>1279</v>
      </c>
      <c r="N921" s="3" t="s">
        <v>278</v>
      </c>
      <c r="O921" s="3" t="s">
        <v>72</v>
      </c>
      <c r="P921" s="3" t="s">
        <v>72</v>
      </c>
      <c r="Q921" s="3" t="s">
        <v>161</v>
      </c>
      <c r="R921" s="3" t="s">
        <v>120</v>
      </c>
      <c r="S921" s="3"/>
      <c r="T921" s="3"/>
      <c r="U921" s="3"/>
      <c r="V921" s="3"/>
      <c r="W921" s="3"/>
      <c r="X921" s="3"/>
      <c r="Y921" s="3"/>
      <c r="Z921" s="3"/>
      <c r="AA921" s="3">
        <v>29800</v>
      </c>
      <c r="AB921" s="3">
        <v>3500</v>
      </c>
      <c r="AC921" s="4">
        <v>43369</v>
      </c>
      <c r="AD921" s="3" t="s">
        <v>42</v>
      </c>
      <c r="AE921" s="3" t="s">
        <v>4847</v>
      </c>
      <c r="AF921" s="3">
        <v>0</v>
      </c>
    </row>
    <row r="922" spans="1:32" x14ac:dyDescent="0.3">
      <c r="A922" s="5">
        <v>916</v>
      </c>
      <c r="B922" s="5" t="str">
        <f>"201900204426"</f>
        <v>201900204426</v>
      </c>
      <c r="C922" s="5" t="str">
        <f>"8009"</f>
        <v>8009</v>
      </c>
      <c r="D922" s="5" t="s">
        <v>4848</v>
      </c>
      <c r="E922" s="5">
        <v>20127765279</v>
      </c>
      <c r="F922" s="5" t="s">
        <v>1115</v>
      </c>
      <c r="G922" s="5" t="s">
        <v>4849</v>
      </c>
      <c r="H922" s="5" t="s">
        <v>58</v>
      </c>
      <c r="I922" s="5" t="s">
        <v>58</v>
      </c>
      <c r="J922" s="5" t="s">
        <v>485</v>
      </c>
      <c r="K922" s="5" t="s">
        <v>37</v>
      </c>
      <c r="L922" s="5" t="s">
        <v>1686</v>
      </c>
      <c r="M922" s="5" t="s">
        <v>61</v>
      </c>
      <c r="N922" s="5" t="s">
        <v>2499</v>
      </c>
      <c r="O922" s="5" t="s">
        <v>504</v>
      </c>
      <c r="P922" s="5" t="s">
        <v>103</v>
      </c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>
        <v>29200</v>
      </c>
      <c r="AB922" s="5">
        <v>2500</v>
      </c>
      <c r="AC922" s="6">
        <v>43811</v>
      </c>
      <c r="AD922" s="5" t="s">
        <v>42</v>
      </c>
      <c r="AE922" s="5" t="s">
        <v>279</v>
      </c>
      <c r="AF922" s="5">
        <v>240</v>
      </c>
    </row>
    <row r="923" spans="1:32" ht="27.95" x14ac:dyDescent="0.3">
      <c r="A923" s="3">
        <v>917</v>
      </c>
      <c r="B923" s="3" t="str">
        <f>"201700052260"</f>
        <v>201700052260</v>
      </c>
      <c r="C923" s="3" t="str">
        <f>"37657"</f>
        <v>37657</v>
      </c>
      <c r="D923" s="3" t="s">
        <v>4850</v>
      </c>
      <c r="E923" s="3">
        <v>10205681723</v>
      </c>
      <c r="F923" s="3" t="s">
        <v>789</v>
      </c>
      <c r="G923" s="3" t="s">
        <v>4851</v>
      </c>
      <c r="H923" s="3" t="s">
        <v>108</v>
      </c>
      <c r="I923" s="3" t="s">
        <v>144</v>
      </c>
      <c r="J923" s="3" t="s">
        <v>144</v>
      </c>
      <c r="K923" s="3" t="s">
        <v>37</v>
      </c>
      <c r="L923" s="3" t="s">
        <v>4852</v>
      </c>
      <c r="M923" s="3" t="s">
        <v>54</v>
      </c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>
        <v>4500</v>
      </c>
      <c r="AB923" s="3">
        <v>4000</v>
      </c>
      <c r="AC923" s="4">
        <v>42835</v>
      </c>
      <c r="AD923" s="3" t="s">
        <v>42</v>
      </c>
      <c r="AE923" s="3" t="s">
        <v>789</v>
      </c>
      <c r="AF923" s="3">
        <v>480</v>
      </c>
    </row>
    <row r="924" spans="1:32" ht="41.95" x14ac:dyDescent="0.3">
      <c r="A924" s="5">
        <v>918</v>
      </c>
      <c r="B924" s="5" t="str">
        <f>"201900204425"</f>
        <v>201900204425</v>
      </c>
      <c r="C924" s="5" t="str">
        <f>"41487"</f>
        <v>41487</v>
      </c>
      <c r="D924" s="5" t="s">
        <v>4853</v>
      </c>
      <c r="E924" s="5">
        <v>20127765279</v>
      </c>
      <c r="F924" s="5" t="s">
        <v>1115</v>
      </c>
      <c r="G924" s="5" t="s">
        <v>4854</v>
      </c>
      <c r="H924" s="5" t="s">
        <v>58</v>
      </c>
      <c r="I924" s="5" t="s">
        <v>58</v>
      </c>
      <c r="J924" s="5" t="s">
        <v>545</v>
      </c>
      <c r="K924" s="5" t="s">
        <v>37</v>
      </c>
      <c r="L924" s="5" t="s">
        <v>63</v>
      </c>
      <c r="M924" s="5" t="s">
        <v>63</v>
      </c>
      <c r="N924" s="5" t="s">
        <v>161</v>
      </c>
      <c r="O924" s="5" t="s">
        <v>161</v>
      </c>
      <c r="P924" s="5" t="s">
        <v>263</v>
      </c>
      <c r="Q924" s="5" t="s">
        <v>1278</v>
      </c>
      <c r="R924" s="5" t="s">
        <v>775</v>
      </c>
      <c r="S924" s="5" t="s">
        <v>4855</v>
      </c>
      <c r="T924" s="5"/>
      <c r="U924" s="5"/>
      <c r="V924" s="5"/>
      <c r="W924" s="5"/>
      <c r="X924" s="5"/>
      <c r="Y924" s="5"/>
      <c r="Z924" s="5"/>
      <c r="AA924" s="5">
        <v>42000</v>
      </c>
      <c r="AB924" s="5">
        <v>25000</v>
      </c>
      <c r="AC924" s="6">
        <v>43815</v>
      </c>
      <c r="AD924" s="5" t="s">
        <v>42</v>
      </c>
      <c r="AE924" s="5" t="s">
        <v>279</v>
      </c>
      <c r="AF924" s="5">
        <v>240</v>
      </c>
    </row>
    <row r="925" spans="1:32" ht="27.95" x14ac:dyDescent="0.3">
      <c r="A925" s="3">
        <v>919</v>
      </c>
      <c r="B925" s="3" t="str">
        <f>"201800103946"</f>
        <v>201800103946</v>
      </c>
      <c r="C925" s="3" t="str">
        <f>"41519"</f>
        <v>41519</v>
      </c>
      <c r="D925" s="3" t="s">
        <v>4856</v>
      </c>
      <c r="E925" s="3">
        <v>20530559824</v>
      </c>
      <c r="F925" s="3" t="s">
        <v>4857</v>
      </c>
      <c r="G925" s="3" t="s">
        <v>4858</v>
      </c>
      <c r="H925" s="3" t="s">
        <v>116</v>
      </c>
      <c r="I925" s="3" t="s">
        <v>4859</v>
      </c>
      <c r="J925" s="3" t="s">
        <v>4859</v>
      </c>
      <c r="K925" s="3" t="s">
        <v>37</v>
      </c>
      <c r="L925" s="3" t="s">
        <v>4860</v>
      </c>
      <c r="M925" s="3" t="s">
        <v>4861</v>
      </c>
      <c r="N925" s="3" t="s">
        <v>4862</v>
      </c>
      <c r="O925" s="3" t="s">
        <v>54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>
        <v>19127</v>
      </c>
      <c r="AB925" s="3">
        <v>4000</v>
      </c>
      <c r="AC925" s="4">
        <v>43277</v>
      </c>
      <c r="AD925" s="3" t="s">
        <v>42</v>
      </c>
      <c r="AE925" s="3" t="s">
        <v>3770</v>
      </c>
      <c r="AF925" s="3">
        <v>720</v>
      </c>
    </row>
    <row r="926" spans="1:32" ht="27.95" x14ac:dyDescent="0.3">
      <c r="A926" s="5">
        <v>920</v>
      </c>
      <c r="B926" s="5" t="str">
        <f>"202000018937"</f>
        <v>202000018937</v>
      </c>
      <c r="C926" s="5" t="str">
        <f>"125961"</f>
        <v>125961</v>
      </c>
      <c r="D926" s="5" t="s">
        <v>4863</v>
      </c>
      <c r="E926" s="5">
        <v>20570808339</v>
      </c>
      <c r="F926" s="5" t="s">
        <v>4864</v>
      </c>
      <c r="G926" s="5" t="s">
        <v>4865</v>
      </c>
      <c r="H926" s="5" t="s">
        <v>134</v>
      </c>
      <c r="I926" s="5" t="s">
        <v>134</v>
      </c>
      <c r="J926" s="5" t="s">
        <v>4866</v>
      </c>
      <c r="K926" s="5" t="s">
        <v>37</v>
      </c>
      <c r="L926" s="5" t="s">
        <v>72</v>
      </c>
      <c r="M926" s="5" t="s">
        <v>1111</v>
      </c>
      <c r="N926" s="5" t="s">
        <v>4867</v>
      </c>
      <c r="O926" s="5" t="s">
        <v>94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>
        <v>19000</v>
      </c>
      <c r="AB926" s="5">
        <v>5000</v>
      </c>
      <c r="AC926" s="6">
        <v>43864</v>
      </c>
      <c r="AD926" s="5" t="s">
        <v>42</v>
      </c>
      <c r="AE926" s="5" t="s">
        <v>4868</v>
      </c>
      <c r="AF926" s="5">
        <v>480</v>
      </c>
    </row>
    <row r="927" spans="1:32" ht="27.95" x14ac:dyDescent="0.3">
      <c r="A927" s="3">
        <v>921</v>
      </c>
      <c r="B927" s="3" t="str">
        <f>"201700128846"</f>
        <v>201700128846</v>
      </c>
      <c r="C927" s="3" t="str">
        <f>"127219"</f>
        <v>127219</v>
      </c>
      <c r="D927" s="3" t="s">
        <v>4869</v>
      </c>
      <c r="E927" s="3">
        <v>20601904234</v>
      </c>
      <c r="F927" s="3" t="s">
        <v>4870</v>
      </c>
      <c r="G927" s="3" t="s">
        <v>4871</v>
      </c>
      <c r="H927" s="3" t="s">
        <v>134</v>
      </c>
      <c r="I927" s="3" t="s">
        <v>4872</v>
      </c>
      <c r="J927" s="3" t="s">
        <v>4872</v>
      </c>
      <c r="K927" s="3" t="s">
        <v>37</v>
      </c>
      <c r="L927" s="3" t="s">
        <v>74</v>
      </c>
      <c r="M927" s="3" t="s">
        <v>4873</v>
      </c>
      <c r="N927" s="3" t="s">
        <v>166</v>
      </c>
      <c r="O927" s="3" t="s">
        <v>94</v>
      </c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>
        <v>16000</v>
      </c>
      <c r="AB927" s="3">
        <v>5000</v>
      </c>
      <c r="AC927" s="4">
        <v>42961</v>
      </c>
      <c r="AD927" s="3" t="s">
        <v>42</v>
      </c>
      <c r="AE927" s="3" t="s">
        <v>740</v>
      </c>
      <c r="AF927" s="3">
        <v>0</v>
      </c>
    </row>
    <row r="928" spans="1:32" ht="27.95" x14ac:dyDescent="0.3">
      <c r="A928" s="5">
        <v>922</v>
      </c>
      <c r="B928" s="5" t="str">
        <f>"201600134754"</f>
        <v>201600134754</v>
      </c>
      <c r="C928" s="5" t="str">
        <f>"118133"</f>
        <v>118133</v>
      </c>
      <c r="D928" s="5" t="s">
        <v>4874</v>
      </c>
      <c r="E928" s="5">
        <v>20481445940</v>
      </c>
      <c r="F928" s="5" t="s">
        <v>4875</v>
      </c>
      <c r="G928" s="5" t="s">
        <v>4876</v>
      </c>
      <c r="H928" s="5" t="s">
        <v>219</v>
      </c>
      <c r="I928" s="5" t="s">
        <v>220</v>
      </c>
      <c r="J928" s="5" t="s">
        <v>302</v>
      </c>
      <c r="K928" s="5" t="s">
        <v>37</v>
      </c>
      <c r="L928" s="5" t="s">
        <v>2338</v>
      </c>
      <c r="M928" s="5" t="s">
        <v>4877</v>
      </c>
      <c r="N928" s="5" t="s">
        <v>4877</v>
      </c>
      <c r="O928" s="5" t="s">
        <v>1367</v>
      </c>
      <c r="P928" s="5" t="s">
        <v>74</v>
      </c>
      <c r="Q928" s="5" t="s">
        <v>555</v>
      </c>
      <c r="R928" s="5" t="s">
        <v>94</v>
      </c>
      <c r="S928" s="5"/>
      <c r="T928" s="5"/>
      <c r="U928" s="5"/>
      <c r="V928" s="5"/>
      <c r="W928" s="5"/>
      <c r="X928" s="5"/>
      <c r="Y928" s="5"/>
      <c r="Z928" s="5"/>
      <c r="AA928" s="5">
        <v>28500</v>
      </c>
      <c r="AB928" s="5">
        <v>5000</v>
      </c>
      <c r="AC928" s="6">
        <v>42639</v>
      </c>
      <c r="AD928" s="5" t="s">
        <v>42</v>
      </c>
      <c r="AE928" s="5" t="s">
        <v>4878</v>
      </c>
      <c r="AF928" s="5">
        <v>0</v>
      </c>
    </row>
    <row r="929" spans="1:32" ht="27.95" x14ac:dyDescent="0.3">
      <c r="A929" s="3">
        <v>923</v>
      </c>
      <c r="B929" s="3" t="str">
        <f>"201800160574"</f>
        <v>201800160574</v>
      </c>
      <c r="C929" s="3" t="str">
        <f>"20130"</f>
        <v>20130</v>
      </c>
      <c r="D929" s="3" t="s">
        <v>4879</v>
      </c>
      <c r="E929" s="3">
        <v>20501500209</v>
      </c>
      <c r="F929" s="3" t="s">
        <v>4880</v>
      </c>
      <c r="G929" s="3" t="s">
        <v>4881</v>
      </c>
      <c r="H929" s="3" t="s">
        <v>58</v>
      </c>
      <c r="I929" s="3" t="s">
        <v>58</v>
      </c>
      <c r="J929" s="3" t="s">
        <v>99</v>
      </c>
      <c r="K929" s="3" t="s">
        <v>37</v>
      </c>
      <c r="L929" s="3" t="s">
        <v>4882</v>
      </c>
      <c r="M929" s="3" t="s">
        <v>709</v>
      </c>
      <c r="N929" s="3" t="s">
        <v>72</v>
      </c>
      <c r="O929" s="3" t="s">
        <v>103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>
        <v>24000</v>
      </c>
      <c r="AB929" s="3">
        <v>2500</v>
      </c>
      <c r="AC929" s="4">
        <v>43375</v>
      </c>
      <c r="AD929" s="3" t="s">
        <v>42</v>
      </c>
      <c r="AE929" s="3" t="s">
        <v>4883</v>
      </c>
      <c r="AF929" s="3">
        <v>0</v>
      </c>
    </row>
    <row r="930" spans="1:32" ht="27.95" x14ac:dyDescent="0.3">
      <c r="A930" s="5">
        <v>924</v>
      </c>
      <c r="B930" s="5" t="str">
        <f>"201800050962"</f>
        <v>201800050962</v>
      </c>
      <c r="C930" s="5" t="str">
        <f>"108234"</f>
        <v>108234</v>
      </c>
      <c r="D930" s="5" t="s">
        <v>4884</v>
      </c>
      <c r="E930" s="5">
        <v>20573267274</v>
      </c>
      <c r="F930" s="5" t="s">
        <v>4885</v>
      </c>
      <c r="G930" s="5" t="s">
        <v>4886</v>
      </c>
      <c r="H930" s="5" t="s">
        <v>125</v>
      </c>
      <c r="I930" s="5" t="s">
        <v>591</v>
      </c>
      <c r="J930" s="5" t="s">
        <v>4887</v>
      </c>
      <c r="K930" s="5" t="s">
        <v>37</v>
      </c>
      <c r="L930" s="5" t="s">
        <v>2356</v>
      </c>
      <c r="M930" s="5" t="s">
        <v>477</v>
      </c>
      <c r="N930" s="5" t="s">
        <v>51</v>
      </c>
      <c r="O930" s="5" t="s">
        <v>4888</v>
      </c>
      <c r="P930" s="5" t="s">
        <v>94</v>
      </c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>
        <v>15000</v>
      </c>
      <c r="AB930" s="5">
        <v>5000</v>
      </c>
      <c r="AC930" s="6">
        <v>43190</v>
      </c>
      <c r="AD930" s="5" t="s">
        <v>42</v>
      </c>
      <c r="AE930" s="5" t="s">
        <v>594</v>
      </c>
      <c r="AF930" s="5">
        <v>0</v>
      </c>
    </row>
    <row r="931" spans="1:32" ht="27.95" x14ac:dyDescent="0.3">
      <c r="A931" s="3">
        <v>925</v>
      </c>
      <c r="B931" s="3" t="str">
        <f>"201800106796"</f>
        <v>201800106796</v>
      </c>
      <c r="C931" s="3" t="str">
        <f>"112021"</f>
        <v>112021</v>
      </c>
      <c r="D931" s="3" t="s">
        <v>4889</v>
      </c>
      <c r="E931" s="3">
        <v>20494771552</v>
      </c>
      <c r="F931" s="3" t="s">
        <v>4890</v>
      </c>
      <c r="G931" s="3" t="s">
        <v>4891</v>
      </c>
      <c r="H931" s="3" t="s">
        <v>798</v>
      </c>
      <c r="I931" s="3" t="s">
        <v>4892</v>
      </c>
      <c r="J931" s="3" t="s">
        <v>4892</v>
      </c>
      <c r="K931" s="3" t="s">
        <v>37</v>
      </c>
      <c r="L931" s="3" t="s">
        <v>4893</v>
      </c>
      <c r="M931" s="3" t="s">
        <v>110</v>
      </c>
      <c r="N931" s="3" t="s">
        <v>94</v>
      </c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>
        <v>13000</v>
      </c>
      <c r="AB931" s="3">
        <v>5000</v>
      </c>
      <c r="AC931" s="4">
        <v>43297</v>
      </c>
      <c r="AD931" s="3" t="s">
        <v>42</v>
      </c>
      <c r="AE931" s="3" t="s">
        <v>4894</v>
      </c>
      <c r="AF931" s="3">
        <v>240</v>
      </c>
    </row>
    <row r="932" spans="1:32" ht="27.95" x14ac:dyDescent="0.3">
      <c r="A932" s="5">
        <v>926</v>
      </c>
      <c r="B932" s="5" t="str">
        <f>"201600118916"</f>
        <v>201600118916</v>
      </c>
      <c r="C932" s="5" t="str">
        <f>"9587"</f>
        <v>9587</v>
      </c>
      <c r="D932" s="5" t="s">
        <v>4895</v>
      </c>
      <c r="E932" s="5">
        <v>20458378747</v>
      </c>
      <c r="F932" s="5" t="s">
        <v>680</v>
      </c>
      <c r="G932" s="5" t="s">
        <v>4896</v>
      </c>
      <c r="H932" s="5" t="s">
        <v>36</v>
      </c>
      <c r="I932" s="5" t="s">
        <v>409</v>
      </c>
      <c r="J932" s="5" t="s">
        <v>409</v>
      </c>
      <c r="K932" s="5" t="s">
        <v>37</v>
      </c>
      <c r="L932" s="5" t="s">
        <v>4897</v>
      </c>
      <c r="M932" s="5" t="s">
        <v>570</v>
      </c>
      <c r="N932" s="5" t="s">
        <v>74</v>
      </c>
      <c r="O932" s="5" t="s">
        <v>1367</v>
      </c>
      <c r="P932" s="5" t="s">
        <v>381</v>
      </c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>
        <v>12000</v>
      </c>
      <c r="AB932" s="5">
        <v>2000</v>
      </c>
      <c r="AC932" s="6">
        <v>42613</v>
      </c>
      <c r="AD932" s="5" t="s">
        <v>42</v>
      </c>
      <c r="AE932" s="5" t="s">
        <v>3320</v>
      </c>
      <c r="AF932" s="5">
        <v>0</v>
      </c>
    </row>
    <row r="933" spans="1:32" ht="27.95" x14ac:dyDescent="0.3">
      <c r="A933" s="3">
        <v>927</v>
      </c>
      <c r="B933" s="3" t="str">
        <f>"201700048130"</f>
        <v>201700048130</v>
      </c>
      <c r="C933" s="3" t="str">
        <f>"8405"</f>
        <v>8405</v>
      </c>
      <c r="D933" s="3" t="s">
        <v>4898</v>
      </c>
      <c r="E933" s="3">
        <v>20600883161</v>
      </c>
      <c r="F933" s="3" t="s">
        <v>4899</v>
      </c>
      <c r="G933" s="3" t="s">
        <v>4900</v>
      </c>
      <c r="H933" s="3" t="s">
        <v>89</v>
      </c>
      <c r="I933" s="3" t="s">
        <v>89</v>
      </c>
      <c r="J933" s="3" t="s">
        <v>89</v>
      </c>
      <c r="K933" s="3" t="s">
        <v>37</v>
      </c>
      <c r="L933" s="3" t="s">
        <v>174</v>
      </c>
      <c r="M933" s="3" t="s">
        <v>171</v>
      </c>
      <c r="N933" s="3" t="s">
        <v>65</v>
      </c>
      <c r="O933" s="3" t="s">
        <v>174</v>
      </c>
      <c r="P933" s="3" t="s">
        <v>459</v>
      </c>
      <c r="Q933" s="3" t="s">
        <v>63</v>
      </c>
      <c r="R933" s="3" t="s">
        <v>103</v>
      </c>
      <c r="S933" s="3"/>
      <c r="T933" s="3"/>
      <c r="U933" s="3"/>
      <c r="V933" s="3"/>
      <c r="W933" s="3"/>
      <c r="X933" s="3"/>
      <c r="Y933" s="3"/>
      <c r="Z933" s="3"/>
      <c r="AA933" s="3">
        <v>25000</v>
      </c>
      <c r="AB933" s="3">
        <v>2500</v>
      </c>
      <c r="AC933" s="4">
        <v>42842</v>
      </c>
      <c r="AD933" s="3" t="s">
        <v>42</v>
      </c>
      <c r="AE933" s="3" t="s">
        <v>4901</v>
      </c>
      <c r="AF933" s="3">
        <v>0</v>
      </c>
    </row>
    <row r="934" spans="1:32" x14ac:dyDescent="0.3">
      <c r="A934" s="5">
        <v>928</v>
      </c>
      <c r="B934" s="5" t="str">
        <f>"201600127099"</f>
        <v>201600127099</v>
      </c>
      <c r="C934" s="5" t="str">
        <f>"8526"</f>
        <v>8526</v>
      </c>
      <c r="D934" s="5" t="s">
        <v>4902</v>
      </c>
      <c r="E934" s="5">
        <v>20220724809</v>
      </c>
      <c r="F934" s="5" t="s">
        <v>3729</v>
      </c>
      <c r="G934" s="5" t="s">
        <v>4903</v>
      </c>
      <c r="H934" s="5" t="s">
        <v>219</v>
      </c>
      <c r="I934" s="5" t="s">
        <v>1365</v>
      </c>
      <c r="J934" s="5" t="s">
        <v>1365</v>
      </c>
      <c r="K934" s="5" t="s">
        <v>37</v>
      </c>
      <c r="L934" s="5" t="s">
        <v>263</v>
      </c>
      <c r="M934" s="5" t="s">
        <v>161</v>
      </c>
      <c r="N934" s="5" t="s">
        <v>262</v>
      </c>
      <c r="O934" s="5" t="s">
        <v>1169</v>
      </c>
      <c r="P934" s="5" t="s">
        <v>593</v>
      </c>
      <c r="Q934" s="5" t="s">
        <v>4904</v>
      </c>
      <c r="R934" s="5" t="s">
        <v>94</v>
      </c>
      <c r="S934" s="5"/>
      <c r="T934" s="5"/>
      <c r="U934" s="5"/>
      <c r="V934" s="5"/>
      <c r="W934" s="5"/>
      <c r="X934" s="5"/>
      <c r="Y934" s="5"/>
      <c r="Z934" s="5"/>
      <c r="AA934" s="5">
        <v>36000</v>
      </c>
      <c r="AB934" s="5">
        <v>5000</v>
      </c>
      <c r="AC934" s="6">
        <v>42625</v>
      </c>
      <c r="AD934" s="5" t="s">
        <v>42</v>
      </c>
      <c r="AE934" s="5" t="s">
        <v>3732</v>
      </c>
      <c r="AF934" s="5">
        <v>0</v>
      </c>
    </row>
    <row r="935" spans="1:32" ht="27.95" x14ac:dyDescent="0.3">
      <c r="A935" s="3">
        <v>929</v>
      </c>
      <c r="B935" s="3" t="str">
        <f>"202000061322"</f>
        <v>202000061322</v>
      </c>
      <c r="C935" s="3" t="str">
        <f>"9471"</f>
        <v>9471</v>
      </c>
      <c r="D935" s="3" t="s">
        <v>4905</v>
      </c>
      <c r="E935" s="3">
        <v>20409411852</v>
      </c>
      <c r="F935" s="3" t="s">
        <v>4906</v>
      </c>
      <c r="G935" s="3" t="s">
        <v>4907</v>
      </c>
      <c r="H935" s="3" t="s">
        <v>999</v>
      </c>
      <c r="I935" s="3" t="s">
        <v>999</v>
      </c>
      <c r="J935" s="3" t="s">
        <v>999</v>
      </c>
      <c r="K935" s="3" t="s">
        <v>37</v>
      </c>
      <c r="L935" s="3" t="s">
        <v>1367</v>
      </c>
      <c r="M935" s="3" t="s">
        <v>459</v>
      </c>
      <c r="N935" s="3" t="s">
        <v>398</v>
      </c>
      <c r="O935" s="3" t="s">
        <v>557</v>
      </c>
      <c r="P935" s="3" t="s">
        <v>4286</v>
      </c>
      <c r="Q935" s="3" t="s">
        <v>94</v>
      </c>
      <c r="R935" s="3"/>
      <c r="S935" s="3"/>
      <c r="T935" s="3"/>
      <c r="U935" s="3"/>
      <c r="V935" s="3"/>
      <c r="W935" s="3"/>
      <c r="X935" s="3"/>
      <c r="Y935" s="3"/>
      <c r="Z935" s="3"/>
      <c r="AA935" s="3">
        <v>26000</v>
      </c>
      <c r="AB935" s="3">
        <v>5000</v>
      </c>
      <c r="AC935" s="4">
        <v>43985</v>
      </c>
      <c r="AD935" s="3" t="s">
        <v>42</v>
      </c>
      <c r="AE935" s="3" t="s">
        <v>4908</v>
      </c>
      <c r="AF935" s="3">
        <v>240</v>
      </c>
    </row>
    <row r="936" spans="1:32" ht="27.95" x14ac:dyDescent="0.3">
      <c r="A936" s="5">
        <v>930</v>
      </c>
      <c r="B936" s="5" t="str">
        <f>"201900155330"</f>
        <v>201900155330</v>
      </c>
      <c r="C936" s="5" t="str">
        <f>"18564"</f>
        <v>18564</v>
      </c>
      <c r="D936" s="5" t="s">
        <v>4909</v>
      </c>
      <c r="E936" s="5">
        <v>20481744424</v>
      </c>
      <c r="F936" s="5" t="s">
        <v>4910</v>
      </c>
      <c r="G936" s="5" t="s">
        <v>4911</v>
      </c>
      <c r="H936" s="5" t="s">
        <v>219</v>
      </c>
      <c r="I936" s="5" t="s">
        <v>220</v>
      </c>
      <c r="J936" s="5" t="s">
        <v>220</v>
      </c>
      <c r="K936" s="5" t="s">
        <v>37</v>
      </c>
      <c r="L936" s="5" t="s">
        <v>76</v>
      </c>
      <c r="M936" s="5" t="s">
        <v>4912</v>
      </c>
      <c r="N936" s="5" t="s">
        <v>4913</v>
      </c>
      <c r="O936" s="5" t="s">
        <v>524</v>
      </c>
      <c r="P936" s="5" t="s">
        <v>3034</v>
      </c>
      <c r="Q936" s="5" t="s">
        <v>4914</v>
      </c>
      <c r="R936" s="5" t="s">
        <v>527</v>
      </c>
      <c r="S936" s="5" t="s">
        <v>4079</v>
      </c>
      <c r="T936" s="5" t="s">
        <v>4079</v>
      </c>
      <c r="U936" s="5" t="s">
        <v>4915</v>
      </c>
      <c r="V936" s="5" t="s">
        <v>2282</v>
      </c>
      <c r="W936" s="5"/>
      <c r="X936" s="5"/>
      <c r="Y936" s="5"/>
      <c r="Z936" s="5"/>
      <c r="AA936" s="5">
        <v>46900</v>
      </c>
      <c r="AB936" s="5">
        <v>8000</v>
      </c>
      <c r="AC936" s="6">
        <v>43734</v>
      </c>
      <c r="AD936" s="5" t="s">
        <v>42</v>
      </c>
      <c r="AE936" s="5" t="s">
        <v>4699</v>
      </c>
      <c r="AF936" s="5">
        <v>720</v>
      </c>
    </row>
    <row r="937" spans="1:32" ht="27.95" x14ac:dyDescent="0.3">
      <c r="A937" s="3">
        <v>931</v>
      </c>
      <c r="B937" s="3" t="str">
        <f>"201800131691"</f>
        <v>201800131691</v>
      </c>
      <c r="C937" s="3" t="str">
        <f>"9069"</f>
        <v>9069</v>
      </c>
      <c r="D937" s="3" t="s">
        <v>4916</v>
      </c>
      <c r="E937" s="3">
        <v>20511193045</v>
      </c>
      <c r="F937" s="3" t="s">
        <v>536</v>
      </c>
      <c r="G937" s="3" t="s">
        <v>4917</v>
      </c>
      <c r="H937" s="3" t="s">
        <v>47</v>
      </c>
      <c r="I937" s="3" t="s">
        <v>290</v>
      </c>
      <c r="J937" s="3" t="s">
        <v>290</v>
      </c>
      <c r="K937" s="3" t="s">
        <v>37</v>
      </c>
      <c r="L937" s="3" t="s">
        <v>4918</v>
      </c>
      <c r="M937" s="3" t="s">
        <v>397</v>
      </c>
      <c r="N937" s="3" t="s">
        <v>74</v>
      </c>
      <c r="O937" s="3" t="s">
        <v>398</v>
      </c>
      <c r="P937" s="3" t="s">
        <v>1367</v>
      </c>
      <c r="Q937" s="3" t="s">
        <v>94</v>
      </c>
      <c r="R937" s="3"/>
      <c r="S937" s="3"/>
      <c r="T937" s="3"/>
      <c r="U937" s="3"/>
      <c r="V937" s="3"/>
      <c r="W937" s="3"/>
      <c r="X937" s="3"/>
      <c r="Y937" s="3"/>
      <c r="Z937" s="3"/>
      <c r="AA937" s="3">
        <v>26000</v>
      </c>
      <c r="AB937" s="3">
        <v>5000</v>
      </c>
      <c r="AC937" s="4">
        <v>43328</v>
      </c>
      <c r="AD937" s="3" t="s">
        <v>42</v>
      </c>
      <c r="AE937" s="3" t="s">
        <v>2721</v>
      </c>
      <c r="AF937" s="3">
        <v>0</v>
      </c>
    </row>
    <row r="938" spans="1:32" ht="27.95" x14ac:dyDescent="0.3">
      <c r="A938" s="5">
        <v>932</v>
      </c>
      <c r="B938" s="5" t="str">
        <f>"202000130323"</f>
        <v>202000130323</v>
      </c>
      <c r="C938" s="5" t="str">
        <f>"17949"</f>
        <v>17949</v>
      </c>
      <c r="D938" s="5" t="s">
        <v>4919</v>
      </c>
      <c r="E938" s="5">
        <v>20513679875</v>
      </c>
      <c r="F938" s="5" t="s">
        <v>4920</v>
      </c>
      <c r="G938" s="5" t="s">
        <v>4921</v>
      </c>
      <c r="H938" s="5" t="s">
        <v>58</v>
      </c>
      <c r="I938" s="5" t="s">
        <v>58</v>
      </c>
      <c r="J938" s="5" t="s">
        <v>403</v>
      </c>
      <c r="K938" s="5" t="s">
        <v>37</v>
      </c>
      <c r="L938" s="5" t="s">
        <v>557</v>
      </c>
      <c r="M938" s="5" t="s">
        <v>102</v>
      </c>
      <c r="N938" s="5" t="s">
        <v>555</v>
      </c>
      <c r="O938" s="5" t="s">
        <v>555</v>
      </c>
      <c r="P938" s="5" t="s">
        <v>347</v>
      </c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>
        <v>18000</v>
      </c>
      <c r="AB938" s="5">
        <v>3100</v>
      </c>
      <c r="AC938" s="6">
        <v>44116</v>
      </c>
      <c r="AD938" s="5" t="s">
        <v>42</v>
      </c>
      <c r="AE938" s="5" t="s">
        <v>4922</v>
      </c>
      <c r="AF938" s="5">
        <v>720</v>
      </c>
    </row>
    <row r="939" spans="1:32" ht="27.95" x14ac:dyDescent="0.3">
      <c r="A939" s="3">
        <v>933</v>
      </c>
      <c r="B939" s="3" t="str">
        <f>"201700198779"</f>
        <v>201700198779</v>
      </c>
      <c r="C939" s="3" t="str">
        <f>"82247"</f>
        <v>82247</v>
      </c>
      <c r="D939" s="3" t="s">
        <v>4923</v>
      </c>
      <c r="E939" s="3">
        <v>10400590643</v>
      </c>
      <c r="F939" s="3" t="s">
        <v>4924</v>
      </c>
      <c r="G939" s="3" t="s">
        <v>4925</v>
      </c>
      <c r="H939" s="3" t="s">
        <v>108</v>
      </c>
      <c r="I939" s="3" t="s">
        <v>647</v>
      </c>
      <c r="J939" s="3" t="s">
        <v>4926</v>
      </c>
      <c r="K939" s="3" t="s">
        <v>37</v>
      </c>
      <c r="L939" s="3" t="s">
        <v>4927</v>
      </c>
      <c r="M939" s="3" t="s">
        <v>172</v>
      </c>
      <c r="N939" s="3" t="s">
        <v>4928</v>
      </c>
      <c r="O939" s="3" t="s">
        <v>120</v>
      </c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>
        <v>8000</v>
      </c>
      <c r="AB939" s="3">
        <v>3500</v>
      </c>
      <c r="AC939" s="4">
        <v>43061</v>
      </c>
      <c r="AD939" s="3" t="s">
        <v>42</v>
      </c>
      <c r="AE939" s="3" t="s">
        <v>4924</v>
      </c>
      <c r="AF939" s="3">
        <v>0</v>
      </c>
    </row>
    <row r="940" spans="1:32" ht="27.95" x14ac:dyDescent="0.3">
      <c r="A940" s="5">
        <v>934</v>
      </c>
      <c r="B940" s="5" t="str">
        <f>"201600048877"</f>
        <v>201600048877</v>
      </c>
      <c r="C940" s="5" t="str">
        <f>"89213"</f>
        <v>89213</v>
      </c>
      <c r="D940" s="5" t="s">
        <v>4929</v>
      </c>
      <c r="E940" s="5">
        <v>20554788999</v>
      </c>
      <c r="F940" s="5" t="s">
        <v>4930</v>
      </c>
      <c r="G940" s="5" t="s">
        <v>4931</v>
      </c>
      <c r="H940" s="5" t="s">
        <v>58</v>
      </c>
      <c r="I940" s="5" t="s">
        <v>58</v>
      </c>
      <c r="J940" s="5" t="s">
        <v>2562</v>
      </c>
      <c r="K940" s="5" t="s">
        <v>37</v>
      </c>
      <c r="L940" s="5" t="s">
        <v>174</v>
      </c>
      <c r="M940" s="5" t="s">
        <v>171</v>
      </c>
      <c r="N940" s="5" t="s">
        <v>63</v>
      </c>
      <c r="O940" s="5" t="s">
        <v>285</v>
      </c>
      <c r="P940" s="5" t="s">
        <v>172</v>
      </c>
      <c r="Q940" s="5" t="s">
        <v>248</v>
      </c>
      <c r="R940" s="5"/>
      <c r="S940" s="5"/>
      <c r="T940" s="5"/>
      <c r="U940" s="5"/>
      <c r="V940" s="5"/>
      <c r="W940" s="5"/>
      <c r="X940" s="5"/>
      <c r="Y940" s="5"/>
      <c r="Z940" s="5"/>
      <c r="AA940" s="5">
        <v>22000</v>
      </c>
      <c r="AB940" s="5">
        <v>3000</v>
      </c>
      <c r="AC940" s="6">
        <v>42487</v>
      </c>
      <c r="AD940" s="5" t="s">
        <v>42</v>
      </c>
      <c r="AE940" s="5" t="s">
        <v>4932</v>
      </c>
      <c r="AF940" s="5">
        <v>0</v>
      </c>
    </row>
    <row r="941" spans="1:32" ht="27.95" x14ac:dyDescent="0.3">
      <c r="A941" s="3">
        <v>935</v>
      </c>
      <c r="B941" s="3" t="str">
        <f>"201900082246"</f>
        <v>201900082246</v>
      </c>
      <c r="C941" s="3" t="str">
        <f>"7111"</f>
        <v>7111</v>
      </c>
      <c r="D941" s="3" t="s">
        <v>4933</v>
      </c>
      <c r="E941" s="3">
        <v>20528970339</v>
      </c>
      <c r="F941" s="3" t="s">
        <v>4934</v>
      </c>
      <c r="G941" s="3" t="s">
        <v>4935</v>
      </c>
      <c r="H941" s="3" t="s">
        <v>125</v>
      </c>
      <c r="I941" s="3" t="s">
        <v>125</v>
      </c>
      <c r="J941" s="3" t="s">
        <v>1381</v>
      </c>
      <c r="K941" s="3" t="s">
        <v>37</v>
      </c>
      <c r="L941" s="3" t="s">
        <v>166</v>
      </c>
      <c r="M941" s="3" t="s">
        <v>166</v>
      </c>
      <c r="N941" s="3" t="s">
        <v>63</v>
      </c>
      <c r="O941" s="3" t="s">
        <v>262</v>
      </c>
      <c r="P941" s="3" t="s">
        <v>262</v>
      </c>
      <c r="Q941" s="3" t="s">
        <v>161</v>
      </c>
      <c r="R941" s="3" t="s">
        <v>1278</v>
      </c>
      <c r="S941" s="3" t="s">
        <v>775</v>
      </c>
      <c r="T941" s="3" t="s">
        <v>41</v>
      </c>
      <c r="U941" s="3"/>
      <c r="V941" s="3"/>
      <c r="W941" s="3"/>
      <c r="X941" s="3"/>
      <c r="Y941" s="3"/>
      <c r="Z941" s="3"/>
      <c r="AA941" s="3">
        <v>56000</v>
      </c>
      <c r="AB941" s="3">
        <v>10000</v>
      </c>
      <c r="AC941" s="4">
        <v>43611</v>
      </c>
      <c r="AD941" s="3" t="s">
        <v>42</v>
      </c>
      <c r="AE941" s="3" t="s">
        <v>1480</v>
      </c>
      <c r="AF941" s="3">
        <v>480</v>
      </c>
    </row>
    <row r="942" spans="1:32" ht="27.95" x14ac:dyDescent="0.3">
      <c r="A942" s="5">
        <v>936</v>
      </c>
      <c r="B942" s="5" t="str">
        <f>"201600175397"</f>
        <v>201600175397</v>
      </c>
      <c r="C942" s="5" t="str">
        <f>"35025"</f>
        <v>35025</v>
      </c>
      <c r="D942" s="5" t="s">
        <v>4936</v>
      </c>
      <c r="E942" s="5">
        <v>20168494301</v>
      </c>
      <c r="F942" s="5" t="s">
        <v>4937</v>
      </c>
      <c r="G942" s="5" t="s">
        <v>4938</v>
      </c>
      <c r="H942" s="5" t="s">
        <v>58</v>
      </c>
      <c r="I942" s="5" t="s">
        <v>58</v>
      </c>
      <c r="J942" s="5" t="s">
        <v>1373</v>
      </c>
      <c r="K942" s="5" t="s">
        <v>37</v>
      </c>
      <c r="L942" s="5" t="s">
        <v>72</v>
      </c>
      <c r="M942" s="5" t="s">
        <v>61</v>
      </c>
      <c r="N942" s="5" t="s">
        <v>60</v>
      </c>
      <c r="O942" s="5" t="s">
        <v>1686</v>
      </c>
      <c r="P942" s="5" t="s">
        <v>381</v>
      </c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>
        <v>40000</v>
      </c>
      <c r="AB942" s="5">
        <v>2000</v>
      </c>
      <c r="AC942" s="6">
        <v>42720</v>
      </c>
      <c r="AD942" s="5" t="s">
        <v>42</v>
      </c>
      <c r="AE942" s="5" t="s">
        <v>4939</v>
      </c>
      <c r="AF942" s="5">
        <v>0</v>
      </c>
    </row>
    <row r="943" spans="1:32" x14ac:dyDescent="0.3">
      <c r="A943" s="3">
        <v>937</v>
      </c>
      <c r="B943" s="3" t="str">
        <f>"201200125395"</f>
        <v>201200125395</v>
      </c>
      <c r="C943" s="3" t="str">
        <f>"96937"</f>
        <v>96937</v>
      </c>
      <c r="D943" s="3" t="s">
        <v>4940</v>
      </c>
      <c r="E943" s="3">
        <v>20511193045</v>
      </c>
      <c r="F943" s="3" t="s">
        <v>4941</v>
      </c>
      <c r="G943" s="3" t="s">
        <v>4942</v>
      </c>
      <c r="H943" s="3" t="s">
        <v>47</v>
      </c>
      <c r="I943" s="3" t="s">
        <v>159</v>
      </c>
      <c r="J943" s="3" t="s">
        <v>160</v>
      </c>
      <c r="K943" s="3" t="s">
        <v>37</v>
      </c>
      <c r="L943" s="3" t="s">
        <v>4943</v>
      </c>
      <c r="M943" s="3" t="s">
        <v>4944</v>
      </c>
      <c r="N943" s="3" t="s">
        <v>4945</v>
      </c>
      <c r="O943" s="3" t="s">
        <v>4946</v>
      </c>
      <c r="P943" s="3" t="s">
        <v>94</v>
      </c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>
        <v>11190</v>
      </c>
      <c r="AB943" s="3">
        <v>5000</v>
      </c>
      <c r="AC943" s="4">
        <v>41074</v>
      </c>
      <c r="AD943" s="3" t="s">
        <v>42</v>
      </c>
      <c r="AE943" s="3" t="s">
        <v>541</v>
      </c>
      <c r="AF943" s="3">
        <v>0</v>
      </c>
    </row>
    <row r="944" spans="1:32" ht="27.95" x14ac:dyDescent="0.3">
      <c r="A944" s="5">
        <v>938</v>
      </c>
      <c r="B944" s="5" t="str">
        <f>"201900025625"</f>
        <v>201900025625</v>
      </c>
      <c r="C944" s="5" t="str">
        <f>"141401"</f>
        <v>141401</v>
      </c>
      <c r="D944" s="5" t="s">
        <v>4947</v>
      </c>
      <c r="E944" s="5">
        <v>10433360651</v>
      </c>
      <c r="F944" s="5" t="s">
        <v>4948</v>
      </c>
      <c r="G944" s="5" t="s">
        <v>4949</v>
      </c>
      <c r="H944" s="5" t="s">
        <v>108</v>
      </c>
      <c r="I944" s="5" t="s">
        <v>109</v>
      </c>
      <c r="J944" s="5" t="s">
        <v>4950</v>
      </c>
      <c r="K944" s="5" t="s">
        <v>37</v>
      </c>
      <c r="L944" s="5" t="s">
        <v>63</v>
      </c>
      <c r="M944" s="5" t="s">
        <v>63</v>
      </c>
      <c r="N944" s="5" t="s">
        <v>3096</v>
      </c>
      <c r="O944" s="5" t="s">
        <v>94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>
        <v>18000</v>
      </c>
      <c r="AB944" s="5">
        <v>5000</v>
      </c>
      <c r="AC944" s="6">
        <v>43517</v>
      </c>
      <c r="AD944" s="5" t="s">
        <v>42</v>
      </c>
      <c r="AE944" s="5" t="s">
        <v>4948</v>
      </c>
      <c r="AF944" s="5">
        <v>0</v>
      </c>
    </row>
    <row r="945" spans="1:32" ht="27.95" x14ac:dyDescent="0.3">
      <c r="A945" s="3">
        <v>939</v>
      </c>
      <c r="B945" s="3" t="str">
        <f>"201800071798"</f>
        <v>201800071798</v>
      </c>
      <c r="C945" s="3" t="str">
        <f>"92006"</f>
        <v>92006</v>
      </c>
      <c r="D945" s="3" t="s">
        <v>4951</v>
      </c>
      <c r="E945" s="3">
        <v>10199864438</v>
      </c>
      <c r="F945" s="3" t="s">
        <v>4952</v>
      </c>
      <c r="G945" s="3" t="s">
        <v>4953</v>
      </c>
      <c r="H945" s="3" t="s">
        <v>108</v>
      </c>
      <c r="I945" s="3" t="s">
        <v>109</v>
      </c>
      <c r="J945" s="3" t="s">
        <v>4954</v>
      </c>
      <c r="K945" s="3" t="s">
        <v>37</v>
      </c>
      <c r="L945" s="3" t="s">
        <v>4955</v>
      </c>
      <c r="M945" s="3" t="s">
        <v>94</v>
      </c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>
        <v>6500</v>
      </c>
      <c r="AB945" s="3">
        <v>5000</v>
      </c>
      <c r="AC945" s="4">
        <v>43223</v>
      </c>
      <c r="AD945" s="3" t="s">
        <v>42</v>
      </c>
      <c r="AE945" s="3" t="s">
        <v>4952</v>
      </c>
      <c r="AF945" s="3">
        <v>480</v>
      </c>
    </row>
    <row r="946" spans="1:32" ht="27.95" x14ac:dyDescent="0.3">
      <c r="A946" s="5">
        <v>940</v>
      </c>
      <c r="B946" s="5" t="str">
        <f>"201600118909"</f>
        <v>201600118909</v>
      </c>
      <c r="C946" s="5" t="str">
        <f>"121521"</f>
        <v>121521</v>
      </c>
      <c r="D946" s="5" t="s">
        <v>4956</v>
      </c>
      <c r="E946" s="5">
        <v>20458378747</v>
      </c>
      <c r="F946" s="5" t="s">
        <v>680</v>
      </c>
      <c r="G946" s="5" t="s">
        <v>4957</v>
      </c>
      <c r="H946" s="5" t="s">
        <v>36</v>
      </c>
      <c r="I946" s="5" t="s">
        <v>409</v>
      </c>
      <c r="J946" s="5" t="s">
        <v>4958</v>
      </c>
      <c r="K946" s="5" t="s">
        <v>37</v>
      </c>
      <c r="L946" s="5" t="s">
        <v>1387</v>
      </c>
      <c r="M946" s="5" t="s">
        <v>76</v>
      </c>
      <c r="N946" s="5" t="s">
        <v>296</v>
      </c>
      <c r="O946" s="5" t="s">
        <v>238</v>
      </c>
      <c r="P946" s="5" t="s">
        <v>78</v>
      </c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>
        <v>10000</v>
      </c>
      <c r="AB946" s="5">
        <v>3200</v>
      </c>
      <c r="AC946" s="6">
        <v>42613</v>
      </c>
      <c r="AD946" s="5" t="s">
        <v>42</v>
      </c>
      <c r="AE946" s="5" t="s">
        <v>685</v>
      </c>
      <c r="AF946" s="5">
        <v>720</v>
      </c>
    </row>
    <row r="947" spans="1:32" x14ac:dyDescent="0.3">
      <c r="A947" s="3">
        <v>941</v>
      </c>
      <c r="B947" s="3" t="str">
        <f>"201500021858"</f>
        <v>201500021858</v>
      </c>
      <c r="C947" s="3" t="str">
        <f>"113616"</f>
        <v>113616</v>
      </c>
      <c r="D947" s="3" t="s">
        <v>4959</v>
      </c>
      <c r="E947" s="3">
        <v>20559938077</v>
      </c>
      <c r="F947" s="3" t="s">
        <v>4960</v>
      </c>
      <c r="G947" s="3" t="s">
        <v>4961</v>
      </c>
      <c r="H947" s="3" t="s">
        <v>36</v>
      </c>
      <c r="I947" s="3" t="s">
        <v>409</v>
      </c>
      <c r="J947" s="3" t="s">
        <v>4962</v>
      </c>
      <c r="K947" s="3" t="s">
        <v>37</v>
      </c>
      <c r="L947" s="3" t="s">
        <v>2061</v>
      </c>
      <c r="M947" s="3" t="s">
        <v>2061</v>
      </c>
      <c r="N947" s="3" t="s">
        <v>1348</v>
      </c>
      <c r="O947" s="3" t="s">
        <v>464</v>
      </c>
      <c r="P947" s="3" t="s">
        <v>1307</v>
      </c>
      <c r="Q947" s="3" t="s">
        <v>94</v>
      </c>
      <c r="R947" s="3"/>
      <c r="S947" s="3"/>
      <c r="T947" s="3"/>
      <c r="U947" s="3"/>
      <c r="V947" s="3"/>
      <c r="W947" s="3"/>
      <c r="X947" s="3"/>
      <c r="Y947" s="3"/>
      <c r="Z947" s="3"/>
      <c r="AA947" s="3">
        <v>28100</v>
      </c>
      <c r="AB947" s="3">
        <v>5000</v>
      </c>
      <c r="AC947" s="4">
        <v>42060</v>
      </c>
      <c r="AD947" s="3" t="s">
        <v>42</v>
      </c>
      <c r="AE947" s="3" t="s">
        <v>4963</v>
      </c>
      <c r="AF947" s="3">
        <v>0</v>
      </c>
    </row>
    <row r="948" spans="1:32" ht="27.95" x14ac:dyDescent="0.3">
      <c r="A948" s="5">
        <v>942</v>
      </c>
      <c r="B948" s="5" t="str">
        <f>"201600193849"</f>
        <v>201600193849</v>
      </c>
      <c r="C948" s="5" t="str">
        <f>"9645"</f>
        <v>9645</v>
      </c>
      <c r="D948" s="5" t="s">
        <v>4964</v>
      </c>
      <c r="E948" s="5">
        <v>10316004089</v>
      </c>
      <c r="F948" s="5" t="s">
        <v>1096</v>
      </c>
      <c r="G948" s="5" t="s">
        <v>4965</v>
      </c>
      <c r="H948" s="5" t="s">
        <v>116</v>
      </c>
      <c r="I948" s="5" t="s">
        <v>2324</v>
      </c>
      <c r="J948" s="5" t="s">
        <v>2372</v>
      </c>
      <c r="K948" s="5" t="s">
        <v>37</v>
      </c>
      <c r="L948" s="5" t="s">
        <v>1479</v>
      </c>
      <c r="M948" s="5" t="s">
        <v>4966</v>
      </c>
      <c r="N948" s="5" t="s">
        <v>4967</v>
      </c>
      <c r="O948" s="5" t="s">
        <v>94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>
        <v>25000</v>
      </c>
      <c r="AB948" s="5">
        <v>5000</v>
      </c>
      <c r="AC948" s="6">
        <v>42740</v>
      </c>
      <c r="AD948" s="5" t="s">
        <v>42</v>
      </c>
      <c r="AE948" s="5" t="s">
        <v>1096</v>
      </c>
      <c r="AF948" s="5">
        <v>720</v>
      </c>
    </row>
    <row r="949" spans="1:32" ht="27.95" x14ac:dyDescent="0.3">
      <c r="A949" s="3">
        <v>943</v>
      </c>
      <c r="B949" s="3" t="str">
        <f>"201600011731"</f>
        <v>201600011731</v>
      </c>
      <c r="C949" s="3" t="str">
        <f>"19957"</f>
        <v>19957</v>
      </c>
      <c r="D949" s="3" t="s">
        <v>4968</v>
      </c>
      <c r="E949" s="3">
        <v>20514303283</v>
      </c>
      <c r="F949" s="3" t="s">
        <v>4969</v>
      </c>
      <c r="G949" s="3" t="s">
        <v>4970</v>
      </c>
      <c r="H949" s="3" t="s">
        <v>58</v>
      </c>
      <c r="I949" s="3" t="s">
        <v>58</v>
      </c>
      <c r="J949" s="3" t="s">
        <v>58</v>
      </c>
      <c r="K949" s="3" t="s">
        <v>37</v>
      </c>
      <c r="L949" s="3" t="s">
        <v>703</v>
      </c>
      <c r="M949" s="3" t="s">
        <v>4971</v>
      </c>
      <c r="N949" s="3" t="s">
        <v>61</v>
      </c>
      <c r="O949" s="3" t="s">
        <v>704</v>
      </c>
      <c r="P949" s="3" t="s">
        <v>72</v>
      </c>
      <c r="Q949" s="3" t="s">
        <v>73</v>
      </c>
      <c r="R949" s="3" t="s">
        <v>381</v>
      </c>
      <c r="S949" s="3"/>
      <c r="T949" s="3"/>
      <c r="U949" s="3"/>
      <c r="V949" s="3"/>
      <c r="W949" s="3"/>
      <c r="X949" s="3"/>
      <c r="Y949" s="3"/>
      <c r="Z949" s="3"/>
      <c r="AA949" s="3">
        <v>48000</v>
      </c>
      <c r="AB949" s="3">
        <v>2000</v>
      </c>
      <c r="AC949" s="4">
        <v>42418</v>
      </c>
      <c r="AD949" s="3" t="s">
        <v>42</v>
      </c>
      <c r="AE949" s="3" t="s">
        <v>4972</v>
      </c>
      <c r="AF949" s="3">
        <v>0</v>
      </c>
    </row>
    <row r="950" spans="1:32" ht="27.95" x14ac:dyDescent="0.3">
      <c r="A950" s="5">
        <v>944</v>
      </c>
      <c r="B950" s="5" t="str">
        <f>"201900085158"</f>
        <v>201900085158</v>
      </c>
      <c r="C950" s="5" t="str">
        <f>"125909"</f>
        <v>125909</v>
      </c>
      <c r="D950" s="5" t="s">
        <v>4973</v>
      </c>
      <c r="E950" s="5">
        <v>20600004795</v>
      </c>
      <c r="F950" s="5" t="s">
        <v>4974</v>
      </c>
      <c r="G950" s="5" t="s">
        <v>4975</v>
      </c>
      <c r="H950" s="5" t="s">
        <v>58</v>
      </c>
      <c r="I950" s="5" t="s">
        <v>554</v>
      </c>
      <c r="J950" s="5" t="s">
        <v>4401</v>
      </c>
      <c r="K950" s="5" t="s">
        <v>37</v>
      </c>
      <c r="L950" s="5" t="s">
        <v>459</v>
      </c>
      <c r="M950" s="5" t="s">
        <v>2107</v>
      </c>
      <c r="N950" s="5" t="s">
        <v>3839</v>
      </c>
      <c r="O950" s="5" t="s">
        <v>54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>
        <v>7000</v>
      </c>
      <c r="AB950" s="5">
        <v>4000</v>
      </c>
      <c r="AC950" s="6">
        <v>43619</v>
      </c>
      <c r="AD950" s="5" t="s">
        <v>42</v>
      </c>
      <c r="AE950" s="5" t="s">
        <v>4976</v>
      </c>
      <c r="AF950" s="5">
        <v>0</v>
      </c>
    </row>
    <row r="951" spans="1:32" ht="27.95" x14ac:dyDescent="0.3">
      <c r="A951" s="3">
        <v>945</v>
      </c>
      <c r="B951" s="3" t="str">
        <f>"201900072574"</f>
        <v>201900072574</v>
      </c>
      <c r="C951" s="3" t="str">
        <f>"39576"</f>
        <v>39576</v>
      </c>
      <c r="D951" s="3" t="s">
        <v>4977</v>
      </c>
      <c r="E951" s="3">
        <v>20534912600</v>
      </c>
      <c r="F951" s="3" t="s">
        <v>4978</v>
      </c>
      <c r="G951" s="3" t="s">
        <v>4979</v>
      </c>
      <c r="H951" s="3" t="s">
        <v>47</v>
      </c>
      <c r="I951" s="3" t="s">
        <v>1395</v>
      </c>
      <c r="J951" s="3" t="s">
        <v>1395</v>
      </c>
      <c r="K951" s="3" t="s">
        <v>37</v>
      </c>
      <c r="L951" s="3" t="s">
        <v>72</v>
      </c>
      <c r="M951" s="3" t="s">
        <v>4980</v>
      </c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>
        <v>16000</v>
      </c>
      <c r="AB951" s="3">
        <v>5000</v>
      </c>
      <c r="AC951" s="4">
        <v>43592</v>
      </c>
      <c r="AD951" s="3" t="s">
        <v>42</v>
      </c>
      <c r="AE951" s="3" t="s">
        <v>4981</v>
      </c>
      <c r="AF951" s="3">
        <v>0</v>
      </c>
    </row>
    <row r="952" spans="1:32" ht="41.95" x14ac:dyDescent="0.3">
      <c r="A952" s="5">
        <v>946</v>
      </c>
      <c r="B952" s="5" t="str">
        <f>"201900172363"</f>
        <v>201900172363</v>
      </c>
      <c r="C952" s="5" t="str">
        <f>"89764"</f>
        <v>89764</v>
      </c>
      <c r="D952" s="5" t="s">
        <v>4982</v>
      </c>
      <c r="E952" s="5">
        <v>20453769071</v>
      </c>
      <c r="F952" s="5" t="s">
        <v>4983</v>
      </c>
      <c r="G952" s="5" t="s">
        <v>4984</v>
      </c>
      <c r="H952" s="5" t="s">
        <v>134</v>
      </c>
      <c r="I952" s="5" t="s">
        <v>134</v>
      </c>
      <c r="J952" s="5" t="s">
        <v>134</v>
      </c>
      <c r="K952" s="5" t="s">
        <v>37</v>
      </c>
      <c r="L952" s="5" t="s">
        <v>72</v>
      </c>
      <c r="M952" s="5" t="s">
        <v>4985</v>
      </c>
      <c r="N952" s="5" t="s">
        <v>74</v>
      </c>
      <c r="O952" s="5" t="s">
        <v>4986</v>
      </c>
      <c r="P952" s="5" t="s">
        <v>4987</v>
      </c>
      <c r="Q952" s="5" t="s">
        <v>54</v>
      </c>
      <c r="R952" s="5"/>
      <c r="S952" s="5"/>
      <c r="T952" s="5"/>
      <c r="U952" s="5"/>
      <c r="V952" s="5"/>
      <c r="W952" s="5"/>
      <c r="X952" s="5"/>
      <c r="Y952" s="5"/>
      <c r="Z952" s="5"/>
      <c r="AA952" s="5">
        <v>18825</v>
      </c>
      <c r="AB952" s="5">
        <v>4000</v>
      </c>
      <c r="AC952" s="6">
        <v>43760</v>
      </c>
      <c r="AD952" s="5" t="s">
        <v>42</v>
      </c>
      <c r="AE952" s="5" t="s">
        <v>4988</v>
      </c>
      <c r="AF952" s="5">
        <v>720</v>
      </c>
    </row>
    <row r="953" spans="1:32" x14ac:dyDescent="0.3">
      <c r="A953" s="3">
        <v>947</v>
      </c>
      <c r="B953" s="3" t="str">
        <f>"201600170284"</f>
        <v>201600170284</v>
      </c>
      <c r="C953" s="3" t="str">
        <f>"113852"</f>
        <v>113852</v>
      </c>
      <c r="D953" s="3" t="s">
        <v>4989</v>
      </c>
      <c r="E953" s="3">
        <v>10225212924</v>
      </c>
      <c r="F953" s="3" t="s">
        <v>4990</v>
      </c>
      <c r="G953" s="3" t="s">
        <v>4991</v>
      </c>
      <c r="H953" s="3" t="s">
        <v>125</v>
      </c>
      <c r="I953" s="3" t="s">
        <v>125</v>
      </c>
      <c r="J953" s="3" t="s">
        <v>1381</v>
      </c>
      <c r="K953" s="3" t="s">
        <v>37</v>
      </c>
      <c r="L953" s="3" t="s">
        <v>102</v>
      </c>
      <c r="M953" s="3" t="s">
        <v>102</v>
      </c>
      <c r="N953" s="3" t="s">
        <v>50</v>
      </c>
      <c r="O953" s="3" t="s">
        <v>51</v>
      </c>
      <c r="P953" s="3" t="s">
        <v>94</v>
      </c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>
        <v>20000</v>
      </c>
      <c r="AB953" s="3">
        <v>5000</v>
      </c>
      <c r="AC953" s="4">
        <v>42718</v>
      </c>
      <c r="AD953" s="3" t="s">
        <v>42</v>
      </c>
      <c r="AE953" s="3" t="s">
        <v>4990</v>
      </c>
      <c r="AF953" s="3">
        <v>0</v>
      </c>
    </row>
    <row r="954" spans="1:32" ht="27.95" x14ac:dyDescent="0.3">
      <c r="A954" s="5">
        <v>948</v>
      </c>
      <c r="B954" s="5" t="str">
        <f>"202000070714"</f>
        <v>202000070714</v>
      </c>
      <c r="C954" s="5" t="str">
        <f>"83023"</f>
        <v>83023</v>
      </c>
      <c r="D954" s="5" t="s">
        <v>4992</v>
      </c>
      <c r="E954" s="5">
        <v>20602544002</v>
      </c>
      <c r="F954" s="5" t="s">
        <v>4582</v>
      </c>
      <c r="G954" s="5" t="s">
        <v>4993</v>
      </c>
      <c r="H954" s="5" t="s">
        <v>638</v>
      </c>
      <c r="I954" s="5" t="s">
        <v>639</v>
      </c>
      <c r="J954" s="5" t="s">
        <v>4994</v>
      </c>
      <c r="K954" s="5" t="s">
        <v>37</v>
      </c>
      <c r="L954" s="5" t="s">
        <v>593</v>
      </c>
      <c r="M954" s="5" t="s">
        <v>4995</v>
      </c>
      <c r="N954" s="5" t="s">
        <v>248</v>
      </c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>
        <v>12000</v>
      </c>
      <c r="AB954" s="5">
        <v>3000</v>
      </c>
      <c r="AC954" s="6">
        <v>44010</v>
      </c>
      <c r="AD954" s="5" t="s">
        <v>42</v>
      </c>
      <c r="AE954" s="5" t="s">
        <v>4586</v>
      </c>
      <c r="AF954" s="5">
        <v>0</v>
      </c>
    </row>
    <row r="955" spans="1:32" ht="27.95" x14ac:dyDescent="0.3">
      <c r="A955" s="3">
        <v>949</v>
      </c>
      <c r="B955" s="3" t="str">
        <f>"201600147474"</f>
        <v>201600147474</v>
      </c>
      <c r="C955" s="3" t="str">
        <f>"7921"</f>
        <v>7921</v>
      </c>
      <c r="D955" s="3" t="s">
        <v>4996</v>
      </c>
      <c r="E955" s="3">
        <v>20119207640</v>
      </c>
      <c r="F955" s="3" t="s">
        <v>483</v>
      </c>
      <c r="G955" s="3" t="s">
        <v>4997</v>
      </c>
      <c r="H955" s="3" t="s">
        <v>656</v>
      </c>
      <c r="I955" s="3" t="s">
        <v>656</v>
      </c>
      <c r="J955" s="3" t="s">
        <v>656</v>
      </c>
      <c r="K955" s="3" t="s">
        <v>37</v>
      </c>
      <c r="L955" s="3" t="s">
        <v>2060</v>
      </c>
      <c r="M955" s="3" t="s">
        <v>2348</v>
      </c>
      <c r="N955" s="3" t="s">
        <v>4998</v>
      </c>
      <c r="O955" s="3" t="s">
        <v>2939</v>
      </c>
      <c r="P955" s="3" t="s">
        <v>2499</v>
      </c>
      <c r="Q955" s="3" t="s">
        <v>1530</v>
      </c>
      <c r="R955" s="3" t="s">
        <v>1530</v>
      </c>
      <c r="S955" s="3" t="s">
        <v>1745</v>
      </c>
      <c r="T955" s="3"/>
      <c r="U955" s="3"/>
      <c r="V955" s="3"/>
      <c r="W955" s="3"/>
      <c r="X955" s="3"/>
      <c r="Y955" s="3"/>
      <c r="Z955" s="3"/>
      <c r="AA955" s="3">
        <v>39000</v>
      </c>
      <c r="AB955" s="3">
        <v>5000</v>
      </c>
      <c r="AC955" s="4">
        <v>42681</v>
      </c>
      <c r="AD955" s="3" t="s">
        <v>42</v>
      </c>
      <c r="AE955" s="3" t="s">
        <v>528</v>
      </c>
      <c r="AF955" s="3">
        <v>0</v>
      </c>
    </row>
    <row r="956" spans="1:32" x14ac:dyDescent="0.3">
      <c r="A956" s="5">
        <v>950</v>
      </c>
      <c r="B956" s="5" t="str">
        <f>"201800068817"</f>
        <v>201800068817</v>
      </c>
      <c r="C956" s="5" t="str">
        <f>"9089"</f>
        <v>9089</v>
      </c>
      <c r="D956" s="5" t="s">
        <v>4999</v>
      </c>
      <c r="E956" s="5">
        <v>20538512584</v>
      </c>
      <c r="F956" s="5" t="s">
        <v>2847</v>
      </c>
      <c r="G956" s="5" t="s">
        <v>5000</v>
      </c>
      <c r="H956" s="5" t="s">
        <v>108</v>
      </c>
      <c r="I956" s="5" t="s">
        <v>647</v>
      </c>
      <c r="J956" s="5" t="s">
        <v>846</v>
      </c>
      <c r="K956" s="5" t="s">
        <v>37</v>
      </c>
      <c r="L956" s="5" t="s">
        <v>5001</v>
      </c>
      <c r="M956" s="5" t="s">
        <v>5001</v>
      </c>
      <c r="N956" s="5" t="s">
        <v>5002</v>
      </c>
      <c r="O956" s="5" t="s">
        <v>3958</v>
      </c>
      <c r="P956" s="5" t="s">
        <v>5003</v>
      </c>
      <c r="Q956" s="5" t="s">
        <v>5004</v>
      </c>
      <c r="R956" s="5" t="s">
        <v>5005</v>
      </c>
      <c r="S956" s="5" t="s">
        <v>1800</v>
      </c>
      <c r="T956" s="5"/>
      <c r="U956" s="5"/>
      <c r="V956" s="5"/>
      <c r="W956" s="5"/>
      <c r="X956" s="5"/>
      <c r="Y956" s="5"/>
      <c r="Z956" s="5"/>
      <c r="AA956" s="5">
        <v>33124</v>
      </c>
      <c r="AB956" s="5">
        <v>4850</v>
      </c>
      <c r="AC956" s="6">
        <v>43216</v>
      </c>
      <c r="AD956" s="5" t="s">
        <v>42</v>
      </c>
      <c r="AE956" s="5" t="s">
        <v>2853</v>
      </c>
      <c r="AF956" s="5">
        <v>720</v>
      </c>
    </row>
    <row r="957" spans="1:32" ht="27.95" x14ac:dyDescent="0.3">
      <c r="A957" s="3">
        <v>951</v>
      </c>
      <c r="B957" s="3" t="str">
        <f>"201400085674"</f>
        <v>201400085674</v>
      </c>
      <c r="C957" s="3" t="str">
        <f>"38656"</f>
        <v>38656</v>
      </c>
      <c r="D957" s="3" t="s">
        <v>5006</v>
      </c>
      <c r="E957" s="3">
        <v>20508832134</v>
      </c>
      <c r="F957" s="3" t="s">
        <v>5007</v>
      </c>
      <c r="G957" s="3" t="s">
        <v>5008</v>
      </c>
      <c r="H957" s="3" t="s">
        <v>329</v>
      </c>
      <c r="I957" s="3" t="s">
        <v>329</v>
      </c>
      <c r="J957" s="3" t="s">
        <v>386</v>
      </c>
      <c r="K957" s="3" t="s">
        <v>37</v>
      </c>
      <c r="L957" s="3" t="s">
        <v>63</v>
      </c>
      <c r="M957" s="3" t="s">
        <v>628</v>
      </c>
      <c r="N957" s="3" t="s">
        <v>78</v>
      </c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>
        <v>12000</v>
      </c>
      <c r="AB957" s="3">
        <v>3200</v>
      </c>
      <c r="AC957" s="4">
        <v>41835</v>
      </c>
      <c r="AD957" s="3" t="s">
        <v>42</v>
      </c>
      <c r="AE957" s="3" t="s">
        <v>5009</v>
      </c>
      <c r="AF957" s="3">
        <v>0</v>
      </c>
    </row>
    <row r="958" spans="1:32" ht="27.95" x14ac:dyDescent="0.3">
      <c r="A958" s="5">
        <v>952</v>
      </c>
      <c r="B958" s="5" t="str">
        <f>"201900003287"</f>
        <v>201900003287</v>
      </c>
      <c r="C958" s="5" t="str">
        <f>"7070"</f>
        <v>7070</v>
      </c>
      <c r="D958" s="5" t="s">
        <v>5010</v>
      </c>
      <c r="E958" s="5">
        <v>20481222053</v>
      </c>
      <c r="F958" s="5" t="s">
        <v>5011</v>
      </c>
      <c r="G958" s="5" t="s">
        <v>5012</v>
      </c>
      <c r="H958" s="5" t="s">
        <v>219</v>
      </c>
      <c r="I958" s="5" t="s">
        <v>220</v>
      </c>
      <c r="J958" s="5" t="s">
        <v>302</v>
      </c>
      <c r="K958" s="5" t="s">
        <v>37</v>
      </c>
      <c r="L958" s="5" t="s">
        <v>303</v>
      </c>
      <c r="M958" s="5" t="s">
        <v>75</v>
      </c>
      <c r="N958" s="5" t="s">
        <v>3336</v>
      </c>
      <c r="O958" s="5" t="s">
        <v>211</v>
      </c>
      <c r="P958" s="5" t="s">
        <v>459</v>
      </c>
      <c r="Q958" s="5" t="s">
        <v>154</v>
      </c>
      <c r="R958" s="5"/>
      <c r="S958" s="5"/>
      <c r="T958" s="5"/>
      <c r="U958" s="5"/>
      <c r="V958" s="5"/>
      <c r="W958" s="5"/>
      <c r="X958" s="5"/>
      <c r="Y958" s="5"/>
      <c r="Z958" s="5"/>
      <c r="AA958" s="5">
        <v>20000</v>
      </c>
      <c r="AB958" s="5">
        <v>6000</v>
      </c>
      <c r="AC958" s="6">
        <v>43481</v>
      </c>
      <c r="AD958" s="5" t="s">
        <v>42</v>
      </c>
      <c r="AE958" s="5" t="s">
        <v>1334</v>
      </c>
      <c r="AF958" s="5">
        <v>720</v>
      </c>
    </row>
    <row r="959" spans="1:32" ht="27.95" x14ac:dyDescent="0.3">
      <c r="A959" s="3">
        <v>953</v>
      </c>
      <c r="B959" s="3" t="str">
        <f>"201700158150"</f>
        <v>201700158150</v>
      </c>
      <c r="C959" s="3" t="str">
        <f>"132034"</f>
        <v>132034</v>
      </c>
      <c r="D959" s="3" t="s">
        <v>5013</v>
      </c>
      <c r="E959" s="3">
        <v>20504540023</v>
      </c>
      <c r="F959" s="3" t="s">
        <v>5014</v>
      </c>
      <c r="G959" s="3" t="s">
        <v>5015</v>
      </c>
      <c r="H959" s="3" t="s">
        <v>58</v>
      </c>
      <c r="I959" s="3" t="s">
        <v>4750</v>
      </c>
      <c r="J959" s="3" t="s">
        <v>4751</v>
      </c>
      <c r="K959" s="3" t="s">
        <v>37</v>
      </c>
      <c r="L959" s="3" t="s">
        <v>239</v>
      </c>
      <c r="M959" s="3" t="s">
        <v>239</v>
      </c>
      <c r="N959" s="3" t="s">
        <v>5016</v>
      </c>
      <c r="O959" s="3" t="s">
        <v>5017</v>
      </c>
      <c r="P959" s="3" t="s">
        <v>459</v>
      </c>
      <c r="Q959" s="3" t="s">
        <v>5018</v>
      </c>
      <c r="R959" s="3" t="s">
        <v>120</v>
      </c>
      <c r="S959" s="3"/>
      <c r="T959" s="3"/>
      <c r="U959" s="3"/>
      <c r="V959" s="3"/>
      <c r="W959" s="3"/>
      <c r="X959" s="3"/>
      <c r="Y959" s="3"/>
      <c r="Z959" s="3"/>
      <c r="AA959" s="3">
        <v>9200</v>
      </c>
      <c r="AB959" s="3">
        <v>3500</v>
      </c>
      <c r="AC959" s="4">
        <v>43012</v>
      </c>
      <c r="AD959" s="3" t="s">
        <v>42</v>
      </c>
      <c r="AE959" s="3" t="s">
        <v>5019</v>
      </c>
      <c r="AF959" s="3">
        <v>0</v>
      </c>
    </row>
    <row r="960" spans="1:32" ht="27.95" x14ac:dyDescent="0.3">
      <c r="A960" s="5">
        <v>954</v>
      </c>
      <c r="B960" s="5" t="str">
        <f>"201700035684"</f>
        <v>201700035684</v>
      </c>
      <c r="C960" s="5" t="str">
        <f>"19938"</f>
        <v>19938</v>
      </c>
      <c r="D960" s="5" t="s">
        <v>5020</v>
      </c>
      <c r="E960" s="5">
        <v>20565356161</v>
      </c>
      <c r="F960" s="5" t="s">
        <v>5021</v>
      </c>
      <c r="G960" s="5" t="s">
        <v>5022</v>
      </c>
      <c r="H960" s="5" t="s">
        <v>58</v>
      </c>
      <c r="I960" s="5" t="s">
        <v>823</v>
      </c>
      <c r="J960" s="5" t="s">
        <v>2916</v>
      </c>
      <c r="K960" s="5" t="s">
        <v>37</v>
      </c>
      <c r="L960" s="5" t="s">
        <v>63</v>
      </c>
      <c r="M960" s="5" t="s">
        <v>5023</v>
      </c>
      <c r="N960" s="5" t="s">
        <v>1866</v>
      </c>
      <c r="O960" s="5" t="s">
        <v>172</v>
      </c>
      <c r="P960" s="5" t="s">
        <v>120</v>
      </c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>
        <v>22000</v>
      </c>
      <c r="AB960" s="5">
        <v>3500</v>
      </c>
      <c r="AC960" s="6">
        <v>42804</v>
      </c>
      <c r="AD960" s="5" t="s">
        <v>42</v>
      </c>
      <c r="AE960" s="5" t="s">
        <v>5024</v>
      </c>
      <c r="AF960" s="5">
        <v>480</v>
      </c>
    </row>
    <row r="961" spans="1:32" ht="27.95" x14ac:dyDescent="0.3">
      <c r="A961" s="3">
        <v>955</v>
      </c>
      <c r="B961" s="3" t="str">
        <f>"201900013998"</f>
        <v>201900013998</v>
      </c>
      <c r="C961" s="3" t="str">
        <f>"84403"</f>
        <v>84403</v>
      </c>
      <c r="D961" s="3" t="s">
        <v>5025</v>
      </c>
      <c r="E961" s="3">
        <v>10209907327</v>
      </c>
      <c r="F961" s="3" t="s">
        <v>5026</v>
      </c>
      <c r="G961" s="3" t="s">
        <v>5027</v>
      </c>
      <c r="H961" s="3" t="s">
        <v>108</v>
      </c>
      <c r="I961" s="3" t="s">
        <v>598</v>
      </c>
      <c r="J961" s="3" t="s">
        <v>598</v>
      </c>
      <c r="K961" s="3" t="s">
        <v>37</v>
      </c>
      <c r="L961" s="3" t="s">
        <v>5028</v>
      </c>
      <c r="M961" s="3" t="s">
        <v>493</v>
      </c>
      <c r="N961" s="3" t="s">
        <v>94</v>
      </c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>
        <v>13000</v>
      </c>
      <c r="AB961" s="3">
        <v>5000</v>
      </c>
      <c r="AC961" s="4">
        <v>43493</v>
      </c>
      <c r="AD961" s="3" t="s">
        <v>42</v>
      </c>
      <c r="AE961" s="3" t="s">
        <v>5026</v>
      </c>
      <c r="AF961" s="3">
        <v>0</v>
      </c>
    </row>
    <row r="962" spans="1:32" ht="41.95" x14ac:dyDescent="0.3">
      <c r="A962" s="5">
        <v>956</v>
      </c>
      <c r="B962" s="5" t="str">
        <f>"201900212153"</f>
        <v>201900212153</v>
      </c>
      <c r="C962" s="5" t="str">
        <f>"148431"</f>
        <v>148431</v>
      </c>
      <c r="D962" s="5" t="s">
        <v>5029</v>
      </c>
      <c r="E962" s="5">
        <v>20458378747</v>
      </c>
      <c r="F962" s="5" t="s">
        <v>5030</v>
      </c>
      <c r="G962" s="5" t="s">
        <v>5031</v>
      </c>
      <c r="H962" s="5" t="s">
        <v>219</v>
      </c>
      <c r="I962" s="5" t="s">
        <v>220</v>
      </c>
      <c r="J962" s="5" t="s">
        <v>2037</v>
      </c>
      <c r="K962" s="5" t="s">
        <v>37</v>
      </c>
      <c r="L962" s="5" t="s">
        <v>63</v>
      </c>
      <c r="M962" s="5" t="s">
        <v>5032</v>
      </c>
      <c r="N962" s="5" t="s">
        <v>78</v>
      </c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>
        <v>12540</v>
      </c>
      <c r="AB962" s="5">
        <v>3200</v>
      </c>
      <c r="AC962" s="6">
        <v>43822</v>
      </c>
      <c r="AD962" s="5" t="s">
        <v>42</v>
      </c>
      <c r="AE962" s="5" t="s">
        <v>685</v>
      </c>
      <c r="AF962" s="5">
        <v>720</v>
      </c>
    </row>
    <row r="963" spans="1:32" x14ac:dyDescent="0.3">
      <c r="A963" s="3">
        <v>957</v>
      </c>
      <c r="B963" s="3" t="str">
        <f>"201900155316"</f>
        <v>201900155316</v>
      </c>
      <c r="C963" s="3" t="str">
        <f>"137777"</f>
        <v>137777</v>
      </c>
      <c r="D963" s="3" t="s">
        <v>5033</v>
      </c>
      <c r="E963" s="3">
        <v>20602843255</v>
      </c>
      <c r="F963" s="3" t="s">
        <v>5034</v>
      </c>
      <c r="G963" s="3" t="s">
        <v>5035</v>
      </c>
      <c r="H963" s="3" t="s">
        <v>219</v>
      </c>
      <c r="I963" s="3" t="s">
        <v>220</v>
      </c>
      <c r="J963" s="3" t="s">
        <v>220</v>
      </c>
      <c r="K963" s="3" t="s">
        <v>37</v>
      </c>
      <c r="L963" s="3" t="s">
        <v>3100</v>
      </c>
      <c r="M963" s="3" t="s">
        <v>5036</v>
      </c>
      <c r="N963" s="3" t="s">
        <v>5036</v>
      </c>
      <c r="O963" s="3" t="s">
        <v>5037</v>
      </c>
      <c r="P963" s="3" t="s">
        <v>5038</v>
      </c>
      <c r="Q963" s="3" t="s">
        <v>65</v>
      </c>
      <c r="R963" s="3" t="s">
        <v>2282</v>
      </c>
      <c r="S963" s="3"/>
      <c r="T963" s="3"/>
      <c r="U963" s="3"/>
      <c r="V963" s="3"/>
      <c r="W963" s="3"/>
      <c r="X963" s="3"/>
      <c r="Y963" s="3"/>
      <c r="Z963" s="3"/>
      <c r="AA963" s="3">
        <v>34850</v>
      </c>
      <c r="AB963" s="3">
        <v>8000</v>
      </c>
      <c r="AC963" s="4">
        <v>43732</v>
      </c>
      <c r="AD963" s="3" t="s">
        <v>42</v>
      </c>
      <c r="AE963" s="3" t="s">
        <v>5039</v>
      </c>
      <c r="AF963" s="3">
        <v>720</v>
      </c>
    </row>
    <row r="964" spans="1:32" ht="27.95" x14ac:dyDescent="0.3">
      <c r="A964" s="5">
        <v>958</v>
      </c>
      <c r="B964" s="5" t="str">
        <f>"201700053286"</f>
        <v>201700053286</v>
      </c>
      <c r="C964" s="5" t="str">
        <f>"85417"</f>
        <v>85417</v>
      </c>
      <c r="D964" s="5" t="s">
        <v>5040</v>
      </c>
      <c r="E964" s="5">
        <v>20481642770</v>
      </c>
      <c r="F964" s="5" t="s">
        <v>5041</v>
      </c>
      <c r="G964" s="5" t="s">
        <v>5042</v>
      </c>
      <c r="H964" s="5" t="s">
        <v>219</v>
      </c>
      <c r="I964" s="5" t="s">
        <v>220</v>
      </c>
      <c r="J964" s="5" t="s">
        <v>220</v>
      </c>
      <c r="K964" s="5" t="s">
        <v>37</v>
      </c>
      <c r="L964" s="5" t="s">
        <v>5043</v>
      </c>
      <c r="M964" s="5" t="s">
        <v>1852</v>
      </c>
      <c r="N964" s="5" t="s">
        <v>276</v>
      </c>
      <c r="O964" s="5" t="s">
        <v>94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>
        <v>7800</v>
      </c>
      <c r="AB964" s="5">
        <v>5000</v>
      </c>
      <c r="AC964" s="6">
        <v>42839</v>
      </c>
      <c r="AD964" s="5" t="s">
        <v>42</v>
      </c>
      <c r="AE964" s="5" t="s">
        <v>5044</v>
      </c>
      <c r="AF964" s="5">
        <v>0</v>
      </c>
    </row>
    <row r="965" spans="1:32" ht="41.95" x14ac:dyDescent="0.3">
      <c r="A965" s="3">
        <v>959</v>
      </c>
      <c r="B965" s="3" t="str">
        <f>"201500085974"</f>
        <v>201500085974</v>
      </c>
      <c r="C965" s="3" t="str">
        <f>"61744"</f>
        <v>61744</v>
      </c>
      <c r="D965" s="3" t="s">
        <v>5045</v>
      </c>
      <c r="E965" s="3">
        <v>20507556737</v>
      </c>
      <c r="F965" s="3" t="s">
        <v>5046</v>
      </c>
      <c r="G965" s="3" t="s">
        <v>5047</v>
      </c>
      <c r="H965" s="3" t="s">
        <v>58</v>
      </c>
      <c r="I965" s="3" t="s">
        <v>58</v>
      </c>
      <c r="J965" s="3" t="s">
        <v>1058</v>
      </c>
      <c r="K965" s="3" t="s">
        <v>37</v>
      </c>
      <c r="L965" s="3" t="s">
        <v>5048</v>
      </c>
      <c r="M965" s="3" t="s">
        <v>5049</v>
      </c>
      <c r="N965" s="3" t="s">
        <v>5050</v>
      </c>
      <c r="O965" s="3" t="s">
        <v>5051</v>
      </c>
      <c r="P965" s="3" t="s">
        <v>54</v>
      </c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>
        <v>10071</v>
      </c>
      <c r="AB965" s="3">
        <v>4000</v>
      </c>
      <c r="AC965" s="4">
        <v>42188</v>
      </c>
      <c r="AD965" s="3" t="s">
        <v>42</v>
      </c>
      <c r="AE965" s="3" t="s">
        <v>5052</v>
      </c>
      <c r="AF965" s="3">
        <v>240</v>
      </c>
    </row>
    <row r="966" spans="1:32" ht="41.95" x14ac:dyDescent="0.3">
      <c r="A966" s="5">
        <v>960</v>
      </c>
      <c r="B966" s="5" t="str">
        <f>"201900043595"</f>
        <v>201900043595</v>
      </c>
      <c r="C966" s="5" t="str">
        <f>"64413"</f>
        <v>64413</v>
      </c>
      <c r="D966" s="5" t="s">
        <v>5053</v>
      </c>
      <c r="E966" s="5">
        <v>20525076343</v>
      </c>
      <c r="F966" s="5" t="s">
        <v>5054</v>
      </c>
      <c r="G966" s="5" t="s">
        <v>5055</v>
      </c>
      <c r="H966" s="5" t="s">
        <v>89</v>
      </c>
      <c r="I966" s="5" t="s">
        <v>730</v>
      </c>
      <c r="J966" s="5" t="s">
        <v>3219</v>
      </c>
      <c r="K966" s="5" t="s">
        <v>37</v>
      </c>
      <c r="L966" s="5" t="s">
        <v>5056</v>
      </c>
      <c r="M966" s="5" t="s">
        <v>5057</v>
      </c>
      <c r="N966" s="5" t="s">
        <v>5058</v>
      </c>
      <c r="O966" s="5" t="s">
        <v>248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>
        <v>7866</v>
      </c>
      <c r="AB966" s="5">
        <v>3000</v>
      </c>
      <c r="AC966" s="6">
        <v>43545</v>
      </c>
      <c r="AD966" s="5" t="s">
        <v>42</v>
      </c>
      <c r="AE966" s="5" t="s">
        <v>5059</v>
      </c>
      <c r="AF966" s="5">
        <v>200</v>
      </c>
    </row>
    <row r="967" spans="1:32" ht="41.95" x14ac:dyDescent="0.3">
      <c r="A967" s="3">
        <v>961</v>
      </c>
      <c r="B967" s="3" t="str">
        <f>"201900155311"</f>
        <v>201900155311</v>
      </c>
      <c r="C967" s="3" t="str">
        <f>"15713"</f>
        <v>15713</v>
      </c>
      <c r="D967" s="3" t="s">
        <v>5060</v>
      </c>
      <c r="E967" s="3">
        <v>20482527966</v>
      </c>
      <c r="F967" s="3" t="s">
        <v>5061</v>
      </c>
      <c r="G967" s="3" t="s">
        <v>5062</v>
      </c>
      <c r="H967" s="3" t="s">
        <v>219</v>
      </c>
      <c r="I967" s="3" t="s">
        <v>283</v>
      </c>
      <c r="J967" s="3" t="s">
        <v>3623</v>
      </c>
      <c r="K967" s="3" t="s">
        <v>37</v>
      </c>
      <c r="L967" s="3" t="s">
        <v>4331</v>
      </c>
      <c r="M967" s="3" t="s">
        <v>128</v>
      </c>
      <c r="N967" s="3" t="s">
        <v>127</v>
      </c>
      <c r="O967" s="3" t="s">
        <v>320</v>
      </c>
      <c r="P967" s="3" t="s">
        <v>1314</v>
      </c>
      <c r="Q967" s="3" t="s">
        <v>128</v>
      </c>
      <c r="R967" s="3" t="s">
        <v>979</v>
      </c>
      <c r="S967" s="3"/>
      <c r="T967" s="3"/>
      <c r="U967" s="3"/>
      <c r="V967" s="3"/>
      <c r="W967" s="3"/>
      <c r="X967" s="3"/>
      <c r="Y967" s="3"/>
      <c r="Z967" s="3"/>
      <c r="AA967" s="3">
        <v>27700</v>
      </c>
      <c r="AB967" s="3">
        <v>7000</v>
      </c>
      <c r="AC967" s="4">
        <v>43733</v>
      </c>
      <c r="AD967" s="3" t="s">
        <v>42</v>
      </c>
      <c r="AE967" s="3" t="s">
        <v>4699</v>
      </c>
      <c r="AF967" s="3">
        <v>480</v>
      </c>
    </row>
    <row r="968" spans="1:32" ht="41.95" x14ac:dyDescent="0.3">
      <c r="A968" s="5">
        <v>962</v>
      </c>
      <c r="B968" s="5" t="str">
        <f>"201800101581"</f>
        <v>201800101581</v>
      </c>
      <c r="C968" s="5" t="str">
        <f>"20981"</f>
        <v>20981</v>
      </c>
      <c r="D968" s="5" t="s">
        <v>5063</v>
      </c>
      <c r="E968" s="5">
        <v>20518334574</v>
      </c>
      <c r="F968" s="5" t="s">
        <v>5064</v>
      </c>
      <c r="G968" s="5" t="s">
        <v>5065</v>
      </c>
      <c r="H968" s="5" t="s">
        <v>58</v>
      </c>
      <c r="I968" s="5" t="s">
        <v>823</v>
      </c>
      <c r="J968" s="5" t="s">
        <v>823</v>
      </c>
      <c r="K968" s="5" t="s">
        <v>37</v>
      </c>
      <c r="L968" s="5" t="s">
        <v>5066</v>
      </c>
      <c r="M968" s="5" t="s">
        <v>63</v>
      </c>
      <c r="N968" s="5" t="s">
        <v>5067</v>
      </c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>
        <v>11500</v>
      </c>
      <c r="AB968" s="5">
        <v>2500</v>
      </c>
      <c r="AC968" s="6">
        <v>43276</v>
      </c>
      <c r="AD968" s="5" t="s">
        <v>42</v>
      </c>
      <c r="AE968" s="5" t="s">
        <v>5068</v>
      </c>
      <c r="AF968" s="5">
        <v>0</v>
      </c>
    </row>
    <row r="969" spans="1:32" ht="41.95" x14ac:dyDescent="0.3">
      <c r="A969" s="3">
        <v>963</v>
      </c>
      <c r="B969" s="3" t="str">
        <f>"201900117411"</f>
        <v>201900117411</v>
      </c>
      <c r="C969" s="3" t="str">
        <f>"138640"</f>
        <v>138640</v>
      </c>
      <c r="D969" s="3" t="s">
        <v>5069</v>
      </c>
      <c r="E969" s="3">
        <v>20604875235</v>
      </c>
      <c r="F969" s="3" t="s">
        <v>5070</v>
      </c>
      <c r="G969" s="3" t="s">
        <v>5071</v>
      </c>
      <c r="H969" s="3" t="s">
        <v>36</v>
      </c>
      <c r="I969" s="3" t="s">
        <v>409</v>
      </c>
      <c r="J969" s="3" t="s">
        <v>409</v>
      </c>
      <c r="K969" s="3" t="s">
        <v>37</v>
      </c>
      <c r="L969" s="3" t="s">
        <v>63</v>
      </c>
      <c r="M969" s="3" t="s">
        <v>5072</v>
      </c>
      <c r="N969" s="3" t="s">
        <v>1289</v>
      </c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>
        <v>14000</v>
      </c>
      <c r="AB969" s="3">
        <v>5500</v>
      </c>
      <c r="AC969" s="4">
        <v>43670</v>
      </c>
      <c r="AD969" s="3" t="s">
        <v>42</v>
      </c>
      <c r="AE969" s="3" t="s">
        <v>5073</v>
      </c>
      <c r="AF969" s="3">
        <v>0</v>
      </c>
    </row>
    <row r="970" spans="1:32" ht="27.95" x14ac:dyDescent="0.3">
      <c r="A970" s="5">
        <v>964</v>
      </c>
      <c r="B970" s="5" t="str">
        <f>"201800037603"</f>
        <v>201800037603</v>
      </c>
      <c r="C970" s="5" t="str">
        <f>"9572"</f>
        <v>9572</v>
      </c>
      <c r="D970" s="5" t="s">
        <v>5074</v>
      </c>
      <c r="E970" s="5">
        <v>20507767860</v>
      </c>
      <c r="F970" s="5" t="s">
        <v>5075</v>
      </c>
      <c r="G970" s="5" t="s">
        <v>5076</v>
      </c>
      <c r="H970" s="5" t="s">
        <v>58</v>
      </c>
      <c r="I970" s="5" t="s">
        <v>58</v>
      </c>
      <c r="J970" s="5" t="s">
        <v>99</v>
      </c>
      <c r="K970" s="5" t="s">
        <v>37</v>
      </c>
      <c r="L970" s="5" t="s">
        <v>5077</v>
      </c>
      <c r="M970" s="5" t="s">
        <v>50</v>
      </c>
      <c r="N970" s="5" t="s">
        <v>152</v>
      </c>
      <c r="O970" s="5" t="s">
        <v>5078</v>
      </c>
      <c r="P970" s="5" t="s">
        <v>3056</v>
      </c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>
        <v>20000</v>
      </c>
      <c r="AB970" s="5">
        <v>2750</v>
      </c>
      <c r="AC970" s="6">
        <v>43165</v>
      </c>
      <c r="AD970" s="5" t="s">
        <v>42</v>
      </c>
      <c r="AE970" s="5" t="s">
        <v>5079</v>
      </c>
      <c r="AF970" s="5">
        <v>0</v>
      </c>
    </row>
    <row r="971" spans="1:32" ht="27.95" x14ac:dyDescent="0.3">
      <c r="A971" s="3">
        <v>965</v>
      </c>
      <c r="B971" s="3" t="str">
        <f>"201300149509"</f>
        <v>201300149509</v>
      </c>
      <c r="C971" s="3" t="str">
        <f>"7106"</f>
        <v>7106</v>
      </c>
      <c r="D971" s="3" t="s">
        <v>5080</v>
      </c>
      <c r="E971" s="3">
        <v>20120576365</v>
      </c>
      <c r="F971" s="3" t="s">
        <v>5081</v>
      </c>
      <c r="G971" s="3" t="s">
        <v>5082</v>
      </c>
      <c r="H971" s="3" t="s">
        <v>108</v>
      </c>
      <c r="I971" s="3" t="s">
        <v>647</v>
      </c>
      <c r="J971" s="3" t="s">
        <v>846</v>
      </c>
      <c r="K971" s="3" t="s">
        <v>37</v>
      </c>
      <c r="L971" s="3" t="s">
        <v>1479</v>
      </c>
      <c r="M971" s="3" t="s">
        <v>5083</v>
      </c>
      <c r="N971" s="3" t="s">
        <v>5084</v>
      </c>
      <c r="O971" s="3" t="s">
        <v>94</v>
      </c>
      <c r="P971" s="3" t="s">
        <v>94</v>
      </c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>
        <v>30000</v>
      </c>
      <c r="AB971" s="3">
        <v>10000</v>
      </c>
      <c r="AC971" s="4">
        <v>41560</v>
      </c>
      <c r="AD971" s="3" t="s">
        <v>42</v>
      </c>
      <c r="AE971" s="3" t="s">
        <v>5085</v>
      </c>
      <c r="AF971" s="3">
        <v>0</v>
      </c>
    </row>
    <row r="972" spans="1:32" ht="27.95" x14ac:dyDescent="0.3">
      <c r="A972" s="5">
        <v>966</v>
      </c>
      <c r="B972" s="5" t="str">
        <f>"201700102491"</f>
        <v>201700102491</v>
      </c>
      <c r="C972" s="5" t="str">
        <f>"6961"</f>
        <v>6961</v>
      </c>
      <c r="D972" s="5" t="s">
        <v>5086</v>
      </c>
      <c r="E972" s="5">
        <v>20557124846</v>
      </c>
      <c r="F972" s="5" t="s">
        <v>5087</v>
      </c>
      <c r="G972" s="5" t="s">
        <v>5088</v>
      </c>
      <c r="H972" s="5" t="s">
        <v>58</v>
      </c>
      <c r="I972" s="5" t="s">
        <v>58</v>
      </c>
      <c r="J972" s="5" t="s">
        <v>410</v>
      </c>
      <c r="K972" s="5" t="s">
        <v>37</v>
      </c>
      <c r="L972" s="5" t="s">
        <v>380</v>
      </c>
      <c r="M972" s="5" t="s">
        <v>2870</v>
      </c>
      <c r="N972" s="5" t="s">
        <v>72</v>
      </c>
      <c r="O972" s="5" t="s">
        <v>72</v>
      </c>
      <c r="P972" s="5" t="s">
        <v>103</v>
      </c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>
        <v>32000</v>
      </c>
      <c r="AB972" s="5">
        <v>2500</v>
      </c>
      <c r="AC972" s="6">
        <v>42919</v>
      </c>
      <c r="AD972" s="5" t="s">
        <v>42</v>
      </c>
      <c r="AE972" s="5" t="s">
        <v>5089</v>
      </c>
      <c r="AF972" s="5">
        <v>240</v>
      </c>
    </row>
    <row r="973" spans="1:32" ht="27.95" x14ac:dyDescent="0.3">
      <c r="A973" s="3">
        <v>967</v>
      </c>
      <c r="B973" s="3" t="str">
        <f>"201900087307"</f>
        <v>201900087307</v>
      </c>
      <c r="C973" s="3" t="str">
        <f>"144374"</f>
        <v>144374</v>
      </c>
      <c r="D973" s="3" t="s">
        <v>5090</v>
      </c>
      <c r="E973" s="3">
        <v>20602430856</v>
      </c>
      <c r="F973" s="3" t="s">
        <v>5091</v>
      </c>
      <c r="G973" s="3" t="s">
        <v>5092</v>
      </c>
      <c r="H973" s="3" t="s">
        <v>58</v>
      </c>
      <c r="I973" s="3" t="s">
        <v>58</v>
      </c>
      <c r="J973" s="3" t="s">
        <v>178</v>
      </c>
      <c r="K973" s="3" t="s">
        <v>37</v>
      </c>
      <c r="L973" s="3" t="s">
        <v>959</v>
      </c>
      <c r="M973" s="3" t="s">
        <v>847</v>
      </c>
      <c r="N973" s="3" t="s">
        <v>248</v>
      </c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>
        <v>12000</v>
      </c>
      <c r="AB973" s="3">
        <v>3000</v>
      </c>
      <c r="AC973" s="4">
        <v>43628</v>
      </c>
      <c r="AD973" s="3" t="s">
        <v>42</v>
      </c>
      <c r="AE973" s="3" t="s">
        <v>1022</v>
      </c>
      <c r="AF973" s="3">
        <v>0</v>
      </c>
    </row>
    <row r="974" spans="1:32" ht="27.95" x14ac:dyDescent="0.3">
      <c r="A974" s="5">
        <v>968</v>
      </c>
      <c r="B974" s="5" t="str">
        <f>"201700065712"</f>
        <v>201700065712</v>
      </c>
      <c r="C974" s="5" t="str">
        <f>"8231"</f>
        <v>8231</v>
      </c>
      <c r="D974" s="5" t="s">
        <v>5093</v>
      </c>
      <c r="E974" s="5">
        <v>20529018046</v>
      </c>
      <c r="F974" s="5" t="s">
        <v>5094</v>
      </c>
      <c r="G974" s="5" t="s">
        <v>5095</v>
      </c>
      <c r="H974" s="5" t="s">
        <v>125</v>
      </c>
      <c r="I974" s="5" t="s">
        <v>591</v>
      </c>
      <c r="J974" s="5" t="s">
        <v>591</v>
      </c>
      <c r="K974" s="5" t="s">
        <v>37</v>
      </c>
      <c r="L974" s="5" t="s">
        <v>172</v>
      </c>
      <c r="M974" s="5" t="s">
        <v>171</v>
      </c>
      <c r="N974" s="5" t="s">
        <v>174</v>
      </c>
      <c r="O974" s="5" t="s">
        <v>5096</v>
      </c>
      <c r="P974" s="5" t="s">
        <v>94</v>
      </c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>
        <v>14767</v>
      </c>
      <c r="AB974" s="5">
        <v>5000</v>
      </c>
      <c r="AC974" s="6">
        <v>42856</v>
      </c>
      <c r="AD974" s="5" t="s">
        <v>42</v>
      </c>
      <c r="AE974" s="5" t="s">
        <v>534</v>
      </c>
      <c r="AF974" s="5">
        <v>720</v>
      </c>
    </row>
    <row r="975" spans="1:32" x14ac:dyDescent="0.3">
      <c r="A975" s="3">
        <v>969</v>
      </c>
      <c r="B975" s="3" t="str">
        <f>"201800129525"</f>
        <v>201800129525</v>
      </c>
      <c r="C975" s="3" t="str">
        <f>"8626"</f>
        <v>8626</v>
      </c>
      <c r="D975" s="3" t="s">
        <v>5097</v>
      </c>
      <c r="E975" s="3">
        <v>20495105866</v>
      </c>
      <c r="F975" s="3" t="s">
        <v>5098</v>
      </c>
      <c r="G975" s="3" t="s">
        <v>5099</v>
      </c>
      <c r="H975" s="3" t="s">
        <v>798</v>
      </c>
      <c r="I975" s="3" t="s">
        <v>964</v>
      </c>
      <c r="J975" s="3" t="s">
        <v>1077</v>
      </c>
      <c r="K975" s="3" t="s">
        <v>37</v>
      </c>
      <c r="L975" s="3" t="s">
        <v>63</v>
      </c>
      <c r="M975" s="3" t="s">
        <v>262</v>
      </c>
      <c r="N975" s="3" t="s">
        <v>161</v>
      </c>
      <c r="O975" s="3" t="s">
        <v>63</v>
      </c>
      <c r="P975" s="3" t="s">
        <v>94</v>
      </c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>
        <v>24000</v>
      </c>
      <c r="AB975" s="3">
        <v>5000</v>
      </c>
      <c r="AC975" s="4">
        <v>43328</v>
      </c>
      <c r="AD975" s="3" t="s">
        <v>42</v>
      </c>
      <c r="AE975" s="3" t="s">
        <v>5100</v>
      </c>
      <c r="AF975" s="3">
        <v>0</v>
      </c>
    </row>
    <row r="976" spans="1:32" ht="27.95" x14ac:dyDescent="0.3">
      <c r="A976" s="5">
        <v>970</v>
      </c>
      <c r="B976" s="5" t="str">
        <f>"201800154106"</f>
        <v>201800154106</v>
      </c>
      <c r="C976" s="5" t="str">
        <f>"45728"</f>
        <v>45728</v>
      </c>
      <c r="D976" s="5" t="s">
        <v>5101</v>
      </c>
      <c r="E976" s="5">
        <v>20486540452</v>
      </c>
      <c r="F976" s="5" t="s">
        <v>5102</v>
      </c>
      <c r="G976" s="5" t="s">
        <v>5103</v>
      </c>
      <c r="H976" s="5" t="s">
        <v>532</v>
      </c>
      <c r="I976" s="5" t="s">
        <v>714</v>
      </c>
      <c r="J976" s="5" t="s">
        <v>3113</v>
      </c>
      <c r="K976" s="5" t="s">
        <v>37</v>
      </c>
      <c r="L976" s="5" t="s">
        <v>102</v>
      </c>
      <c r="M976" s="5" t="s">
        <v>5104</v>
      </c>
      <c r="N976" s="5" t="s">
        <v>5105</v>
      </c>
      <c r="O976" s="5" t="s">
        <v>94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>
        <v>20000</v>
      </c>
      <c r="AB976" s="5">
        <v>5000</v>
      </c>
      <c r="AC976" s="6">
        <v>43368</v>
      </c>
      <c r="AD976" s="5" t="s">
        <v>42</v>
      </c>
      <c r="AE976" s="5" t="s">
        <v>5106</v>
      </c>
      <c r="AF976" s="5">
        <v>0</v>
      </c>
    </row>
    <row r="977" spans="1:32" x14ac:dyDescent="0.3">
      <c r="A977" s="3">
        <v>971</v>
      </c>
      <c r="B977" s="3" t="str">
        <f>"201900134876"</f>
        <v>201900134876</v>
      </c>
      <c r="C977" s="3" t="str">
        <f>"8630"</f>
        <v>8630</v>
      </c>
      <c r="D977" s="3" t="s">
        <v>5107</v>
      </c>
      <c r="E977" s="3">
        <v>10204244699</v>
      </c>
      <c r="F977" s="3" t="s">
        <v>5108</v>
      </c>
      <c r="G977" s="3" t="s">
        <v>5109</v>
      </c>
      <c r="H977" s="3" t="s">
        <v>108</v>
      </c>
      <c r="I977" s="3" t="s">
        <v>1468</v>
      </c>
      <c r="J977" s="3" t="s">
        <v>2785</v>
      </c>
      <c r="K977" s="3" t="s">
        <v>37</v>
      </c>
      <c r="L977" s="3" t="s">
        <v>683</v>
      </c>
      <c r="M977" s="3" t="s">
        <v>102</v>
      </c>
      <c r="N977" s="3" t="s">
        <v>4101</v>
      </c>
      <c r="O977" s="3" t="s">
        <v>512</v>
      </c>
      <c r="P977" s="3" t="s">
        <v>110</v>
      </c>
      <c r="Q977" s="3" t="s">
        <v>5110</v>
      </c>
      <c r="R977" s="3"/>
      <c r="S977" s="3"/>
      <c r="T977" s="3"/>
      <c r="U977" s="3"/>
      <c r="V977" s="3"/>
      <c r="W977" s="3"/>
      <c r="X977" s="3"/>
      <c r="Y977" s="3"/>
      <c r="Z977" s="3"/>
      <c r="AA977" s="3">
        <v>30500</v>
      </c>
      <c r="AB977" s="3">
        <v>3112</v>
      </c>
      <c r="AC977" s="4">
        <v>43712</v>
      </c>
      <c r="AD977" s="3" t="s">
        <v>42</v>
      </c>
      <c r="AE977" s="3" t="s">
        <v>5111</v>
      </c>
      <c r="AF977" s="3">
        <v>480</v>
      </c>
    </row>
    <row r="978" spans="1:32" x14ac:dyDescent="0.3">
      <c r="A978" s="5">
        <v>972</v>
      </c>
      <c r="B978" s="5" t="str">
        <f>"202000106298"</f>
        <v>202000106298</v>
      </c>
      <c r="C978" s="5" t="str">
        <f>"150628"</f>
        <v>150628</v>
      </c>
      <c r="D978" s="5" t="s">
        <v>5112</v>
      </c>
      <c r="E978" s="5">
        <v>20453701191</v>
      </c>
      <c r="F978" s="5" t="s">
        <v>5113</v>
      </c>
      <c r="G978" s="5" t="s">
        <v>5114</v>
      </c>
      <c r="H978" s="5" t="s">
        <v>36</v>
      </c>
      <c r="I978" s="5" t="s">
        <v>409</v>
      </c>
      <c r="J978" s="5" t="s">
        <v>5115</v>
      </c>
      <c r="K978" s="5" t="s">
        <v>37</v>
      </c>
      <c r="L978" s="5" t="s">
        <v>76</v>
      </c>
      <c r="M978" s="5" t="s">
        <v>238</v>
      </c>
      <c r="N978" s="5" t="s">
        <v>296</v>
      </c>
      <c r="O978" s="5" t="s">
        <v>102</v>
      </c>
      <c r="P978" s="5" t="s">
        <v>94</v>
      </c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>
        <v>11000</v>
      </c>
      <c r="AB978" s="5">
        <v>5000</v>
      </c>
      <c r="AC978" s="6">
        <v>44091</v>
      </c>
      <c r="AD978" s="5" t="s">
        <v>42</v>
      </c>
      <c r="AE978" s="5" t="s">
        <v>5116</v>
      </c>
      <c r="AF978" s="5">
        <v>0</v>
      </c>
    </row>
    <row r="979" spans="1:32" x14ac:dyDescent="0.3">
      <c r="A979" s="3">
        <v>973</v>
      </c>
      <c r="B979" s="3" t="str">
        <f>"202000072372"</f>
        <v>202000072372</v>
      </c>
      <c r="C979" s="3" t="str">
        <f>"34750"</f>
        <v>34750</v>
      </c>
      <c r="D979" s="3" t="s">
        <v>5117</v>
      </c>
      <c r="E979" s="3">
        <v>20412830335</v>
      </c>
      <c r="F979" s="3" t="s">
        <v>5118</v>
      </c>
      <c r="G979" s="3" t="s">
        <v>5119</v>
      </c>
      <c r="H979" s="3" t="s">
        <v>89</v>
      </c>
      <c r="I979" s="3" t="s">
        <v>89</v>
      </c>
      <c r="J979" s="3" t="s">
        <v>309</v>
      </c>
      <c r="K979" s="3" t="s">
        <v>37</v>
      </c>
      <c r="L979" s="3" t="s">
        <v>50</v>
      </c>
      <c r="M979" s="3" t="s">
        <v>51</v>
      </c>
      <c r="N979" s="3" t="s">
        <v>51</v>
      </c>
      <c r="O979" s="3" t="s">
        <v>102</v>
      </c>
      <c r="P979" s="3" t="s">
        <v>166</v>
      </c>
      <c r="Q979" s="3" t="s">
        <v>166</v>
      </c>
      <c r="R979" s="3" t="s">
        <v>248</v>
      </c>
      <c r="S979" s="3"/>
      <c r="T979" s="3"/>
      <c r="U979" s="3"/>
      <c r="V979" s="3"/>
      <c r="W979" s="3"/>
      <c r="X979" s="3"/>
      <c r="Y979" s="3"/>
      <c r="Z979" s="3"/>
      <c r="AA979" s="3">
        <v>40000</v>
      </c>
      <c r="AB979" s="3">
        <v>3000</v>
      </c>
      <c r="AC979" s="4">
        <v>44012</v>
      </c>
      <c r="AD979" s="3" t="s">
        <v>42</v>
      </c>
      <c r="AE979" s="3" t="s">
        <v>5120</v>
      </c>
      <c r="AF979" s="3">
        <v>0</v>
      </c>
    </row>
    <row r="980" spans="1:32" ht="27.95" x14ac:dyDescent="0.3">
      <c r="A980" s="5">
        <v>974</v>
      </c>
      <c r="B980" s="5" t="str">
        <f>"201500118189"</f>
        <v>201500118189</v>
      </c>
      <c r="C980" s="5" t="str">
        <f>"8154"</f>
        <v>8154</v>
      </c>
      <c r="D980" s="5" t="s">
        <v>5121</v>
      </c>
      <c r="E980" s="5">
        <v>20337657037</v>
      </c>
      <c r="F980" s="5" t="s">
        <v>3734</v>
      </c>
      <c r="G980" s="5" t="s">
        <v>5122</v>
      </c>
      <c r="H980" s="5" t="s">
        <v>58</v>
      </c>
      <c r="I980" s="5" t="s">
        <v>58</v>
      </c>
      <c r="J980" s="5" t="s">
        <v>545</v>
      </c>
      <c r="K980" s="5" t="s">
        <v>37</v>
      </c>
      <c r="L980" s="5" t="s">
        <v>161</v>
      </c>
      <c r="M980" s="5" t="s">
        <v>60</v>
      </c>
      <c r="N980" s="5" t="s">
        <v>72</v>
      </c>
      <c r="O980" s="5" t="s">
        <v>3839</v>
      </c>
      <c r="P980" s="5" t="s">
        <v>381</v>
      </c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>
        <v>23000</v>
      </c>
      <c r="AB980" s="5">
        <v>2000</v>
      </c>
      <c r="AC980" s="6">
        <v>42257</v>
      </c>
      <c r="AD980" s="5" t="s">
        <v>42</v>
      </c>
      <c r="AE980" s="5" t="s">
        <v>3740</v>
      </c>
      <c r="AF980" s="5">
        <v>0</v>
      </c>
    </row>
    <row r="981" spans="1:32" ht="27.95" x14ac:dyDescent="0.3">
      <c r="A981" s="3">
        <v>975</v>
      </c>
      <c r="B981" s="3" t="str">
        <f>"201800130342"</f>
        <v>201800130342</v>
      </c>
      <c r="C981" s="3" t="str">
        <f>"124738"</f>
        <v>124738</v>
      </c>
      <c r="D981" s="3" t="s">
        <v>5123</v>
      </c>
      <c r="E981" s="3">
        <v>20270382551</v>
      </c>
      <c r="F981" s="3" t="s">
        <v>5124</v>
      </c>
      <c r="G981" s="3" t="s">
        <v>5125</v>
      </c>
      <c r="H981" s="3" t="s">
        <v>36</v>
      </c>
      <c r="I981" s="3" t="s">
        <v>409</v>
      </c>
      <c r="J981" s="3" t="s">
        <v>410</v>
      </c>
      <c r="K981" s="3" t="s">
        <v>37</v>
      </c>
      <c r="L981" s="3" t="s">
        <v>102</v>
      </c>
      <c r="M981" s="3" t="s">
        <v>51</v>
      </c>
      <c r="N981" s="3" t="s">
        <v>1751</v>
      </c>
      <c r="O981" s="3" t="s">
        <v>78</v>
      </c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>
        <v>15000</v>
      </c>
      <c r="AB981" s="3">
        <v>3200</v>
      </c>
      <c r="AC981" s="4">
        <v>43325</v>
      </c>
      <c r="AD981" s="3" t="s">
        <v>42</v>
      </c>
      <c r="AE981" s="3" t="s">
        <v>415</v>
      </c>
      <c r="AF981" s="3">
        <v>720</v>
      </c>
    </row>
    <row r="982" spans="1:32" ht="27.95" x14ac:dyDescent="0.3">
      <c r="A982" s="5">
        <v>976</v>
      </c>
      <c r="B982" s="5" t="str">
        <f>"201700148823"</f>
        <v>201700148823</v>
      </c>
      <c r="C982" s="5" t="str">
        <f>"21395"</f>
        <v>21395</v>
      </c>
      <c r="D982" s="5" t="s">
        <v>5126</v>
      </c>
      <c r="E982" s="5">
        <v>20371826727</v>
      </c>
      <c r="F982" s="5" t="s">
        <v>5127</v>
      </c>
      <c r="G982" s="5" t="s">
        <v>5128</v>
      </c>
      <c r="H982" s="5" t="s">
        <v>58</v>
      </c>
      <c r="I982" s="5" t="s">
        <v>823</v>
      </c>
      <c r="J982" s="5" t="s">
        <v>2916</v>
      </c>
      <c r="K982" s="5" t="s">
        <v>37</v>
      </c>
      <c r="L982" s="5" t="s">
        <v>5129</v>
      </c>
      <c r="M982" s="5" t="s">
        <v>5130</v>
      </c>
      <c r="N982" s="5" t="s">
        <v>5131</v>
      </c>
      <c r="O982" s="5" t="s">
        <v>5132</v>
      </c>
      <c r="P982" s="5" t="s">
        <v>78</v>
      </c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>
        <v>15065</v>
      </c>
      <c r="AB982" s="5">
        <v>3200</v>
      </c>
      <c r="AC982" s="6">
        <v>42993</v>
      </c>
      <c r="AD982" s="5" t="s">
        <v>42</v>
      </c>
      <c r="AE982" s="5" t="s">
        <v>5133</v>
      </c>
      <c r="AF982" s="5">
        <v>480</v>
      </c>
    </row>
    <row r="983" spans="1:32" ht="27.95" x14ac:dyDescent="0.3">
      <c r="A983" s="3">
        <v>977</v>
      </c>
      <c r="B983" s="3" t="str">
        <f>"201900203105"</f>
        <v>201900203105</v>
      </c>
      <c r="C983" s="3" t="str">
        <f>"14563"</f>
        <v>14563</v>
      </c>
      <c r="D983" s="3" t="s">
        <v>5134</v>
      </c>
      <c r="E983" s="3">
        <v>20395012445</v>
      </c>
      <c r="F983" s="3" t="s">
        <v>4557</v>
      </c>
      <c r="G983" s="3" t="s">
        <v>5135</v>
      </c>
      <c r="H983" s="3" t="s">
        <v>36</v>
      </c>
      <c r="I983" s="3" t="s">
        <v>409</v>
      </c>
      <c r="J983" s="3" t="s">
        <v>410</v>
      </c>
      <c r="K983" s="3" t="s">
        <v>37</v>
      </c>
      <c r="L983" s="3" t="s">
        <v>51</v>
      </c>
      <c r="M983" s="3" t="s">
        <v>72</v>
      </c>
      <c r="N983" s="3" t="s">
        <v>49</v>
      </c>
      <c r="O983" s="3" t="s">
        <v>743</v>
      </c>
      <c r="P983" s="3" t="s">
        <v>50</v>
      </c>
      <c r="Q983" s="3" t="s">
        <v>248</v>
      </c>
      <c r="R983" s="3"/>
      <c r="S983" s="3"/>
      <c r="T983" s="3"/>
      <c r="U983" s="3"/>
      <c r="V983" s="3"/>
      <c r="W983" s="3"/>
      <c r="X983" s="3"/>
      <c r="Y983" s="3"/>
      <c r="Z983" s="3"/>
      <c r="AA983" s="3">
        <v>28000</v>
      </c>
      <c r="AB983" s="3">
        <v>3000</v>
      </c>
      <c r="AC983" s="4">
        <v>43816</v>
      </c>
      <c r="AD983" s="3" t="s">
        <v>42</v>
      </c>
      <c r="AE983" s="3" t="s">
        <v>4559</v>
      </c>
      <c r="AF983" s="3">
        <v>0</v>
      </c>
    </row>
    <row r="984" spans="1:32" ht="27.95" x14ac:dyDescent="0.3">
      <c r="A984" s="5">
        <v>978</v>
      </c>
      <c r="B984" s="5" t="str">
        <f>"201900155324"</f>
        <v>201900155324</v>
      </c>
      <c r="C984" s="5" t="str">
        <f>"17893"</f>
        <v>17893</v>
      </c>
      <c r="D984" s="5" t="s">
        <v>5136</v>
      </c>
      <c r="E984" s="5">
        <v>20477372491</v>
      </c>
      <c r="F984" s="5" t="s">
        <v>5137</v>
      </c>
      <c r="G984" s="5" t="s">
        <v>5138</v>
      </c>
      <c r="H984" s="5" t="s">
        <v>219</v>
      </c>
      <c r="I984" s="5" t="s">
        <v>283</v>
      </c>
      <c r="J984" s="5" t="s">
        <v>1831</v>
      </c>
      <c r="K984" s="5" t="s">
        <v>37</v>
      </c>
      <c r="L984" s="5" t="s">
        <v>5139</v>
      </c>
      <c r="M984" s="5" t="s">
        <v>5139</v>
      </c>
      <c r="N984" s="5" t="s">
        <v>5139</v>
      </c>
      <c r="O984" s="5" t="s">
        <v>5140</v>
      </c>
      <c r="P984" s="5" t="s">
        <v>5141</v>
      </c>
      <c r="Q984" s="5" t="s">
        <v>5142</v>
      </c>
      <c r="R984" s="5" t="s">
        <v>5143</v>
      </c>
      <c r="S984" s="5" t="s">
        <v>5144</v>
      </c>
      <c r="T984" s="5" t="s">
        <v>78</v>
      </c>
      <c r="U984" s="5"/>
      <c r="V984" s="5"/>
      <c r="W984" s="5"/>
      <c r="X984" s="5"/>
      <c r="Y984" s="5"/>
      <c r="Z984" s="5"/>
      <c r="AA984" s="5">
        <v>35499</v>
      </c>
      <c r="AB984" s="5">
        <v>3200</v>
      </c>
      <c r="AC984" s="6">
        <v>43734</v>
      </c>
      <c r="AD984" s="5" t="s">
        <v>42</v>
      </c>
      <c r="AE984" s="5" t="s">
        <v>4699</v>
      </c>
      <c r="AF984" s="5">
        <v>720</v>
      </c>
    </row>
    <row r="985" spans="1:32" ht="27.95" x14ac:dyDescent="0.3">
      <c r="A985" s="3">
        <v>979</v>
      </c>
      <c r="B985" s="3" t="str">
        <f>"201600111023"</f>
        <v>201600111023</v>
      </c>
      <c r="C985" s="3" t="str">
        <f>"115680"</f>
        <v>115680</v>
      </c>
      <c r="D985" s="3" t="s">
        <v>5145</v>
      </c>
      <c r="E985" s="3">
        <v>20534023210</v>
      </c>
      <c r="F985" s="3" t="s">
        <v>5146</v>
      </c>
      <c r="G985" s="3" t="s">
        <v>5147</v>
      </c>
      <c r="H985" s="3" t="s">
        <v>116</v>
      </c>
      <c r="I985" s="3" t="s">
        <v>1168</v>
      </c>
      <c r="J985" s="3" t="s">
        <v>626</v>
      </c>
      <c r="K985" s="3" t="s">
        <v>37</v>
      </c>
      <c r="L985" s="3" t="s">
        <v>165</v>
      </c>
      <c r="M985" s="3" t="s">
        <v>5148</v>
      </c>
      <c r="N985" s="3" t="s">
        <v>5149</v>
      </c>
      <c r="O985" s="3" t="s">
        <v>5150</v>
      </c>
      <c r="P985" s="3" t="s">
        <v>94</v>
      </c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>
        <v>21556</v>
      </c>
      <c r="AB985" s="3">
        <v>5000</v>
      </c>
      <c r="AC985" s="4">
        <v>42587</v>
      </c>
      <c r="AD985" s="3" t="s">
        <v>42</v>
      </c>
      <c r="AE985" s="3" t="s">
        <v>5151</v>
      </c>
      <c r="AF985" s="3">
        <v>500</v>
      </c>
    </row>
    <row r="986" spans="1:32" ht="27.95" x14ac:dyDescent="0.3">
      <c r="A986" s="5">
        <v>980</v>
      </c>
      <c r="B986" s="5" t="str">
        <f>"201800121266"</f>
        <v>201800121266</v>
      </c>
      <c r="C986" s="5" t="str">
        <f>"9555"</f>
        <v>9555</v>
      </c>
      <c r="D986" s="5" t="s">
        <v>5152</v>
      </c>
      <c r="E986" s="5">
        <v>20495843182</v>
      </c>
      <c r="F986" s="5" t="s">
        <v>5153</v>
      </c>
      <c r="G986" s="5" t="s">
        <v>5154</v>
      </c>
      <c r="H986" s="5" t="s">
        <v>134</v>
      </c>
      <c r="I986" s="5" t="s">
        <v>134</v>
      </c>
      <c r="J986" s="5" t="s">
        <v>134</v>
      </c>
      <c r="K986" s="5" t="s">
        <v>37</v>
      </c>
      <c r="L986" s="5" t="s">
        <v>5155</v>
      </c>
      <c r="M986" s="5" t="s">
        <v>5156</v>
      </c>
      <c r="N986" s="5" t="s">
        <v>5157</v>
      </c>
      <c r="O986" s="5" t="s">
        <v>5158</v>
      </c>
      <c r="P986" s="5" t="s">
        <v>5159</v>
      </c>
      <c r="Q986" s="5" t="s">
        <v>54</v>
      </c>
      <c r="R986" s="5"/>
      <c r="S986" s="5"/>
      <c r="T986" s="5"/>
      <c r="U986" s="5"/>
      <c r="V986" s="5"/>
      <c r="W986" s="5"/>
      <c r="X986" s="5"/>
      <c r="Y986" s="5"/>
      <c r="Z986" s="5"/>
      <c r="AA986" s="5">
        <v>34826</v>
      </c>
      <c r="AB986" s="5">
        <v>4000</v>
      </c>
      <c r="AC986" s="6">
        <v>43307</v>
      </c>
      <c r="AD986" s="5" t="s">
        <v>42</v>
      </c>
      <c r="AE986" s="5" t="s">
        <v>5160</v>
      </c>
      <c r="AF986" s="5">
        <v>0</v>
      </c>
    </row>
    <row r="987" spans="1:32" ht="27.95" x14ac:dyDescent="0.3">
      <c r="A987" s="3">
        <v>981</v>
      </c>
      <c r="B987" s="3" t="str">
        <f>"201600193021"</f>
        <v>201600193021</v>
      </c>
      <c r="C987" s="3" t="str">
        <f>"18345"</f>
        <v>18345</v>
      </c>
      <c r="D987" s="3" t="s">
        <v>5161</v>
      </c>
      <c r="E987" s="3">
        <v>20459088106</v>
      </c>
      <c r="F987" s="3" t="s">
        <v>5162</v>
      </c>
      <c r="G987" s="3" t="s">
        <v>5163</v>
      </c>
      <c r="H987" s="3" t="s">
        <v>329</v>
      </c>
      <c r="I987" s="3" t="s">
        <v>329</v>
      </c>
      <c r="J987" s="3" t="s">
        <v>330</v>
      </c>
      <c r="K987" s="3" t="s">
        <v>37</v>
      </c>
      <c r="L987" s="3" t="s">
        <v>1686</v>
      </c>
      <c r="M987" s="3" t="s">
        <v>60</v>
      </c>
      <c r="N987" s="3" t="s">
        <v>61</v>
      </c>
      <c r="O987" s="3" t="s">
        <v>61</v>
      </c>
      <c r="P987" s="3" t="s">
        <v>72</v>
      </c>
      <c r="Q987" s="3" t="s">
        <v>72</v>
      </c>
      <c r="R987" s="3" t="s">
        <v>5164</v>
      </c>
      <c r="S987" s="3" t="s">
        <v>5164</v>
      </c>
      <c r="T987" s="3"/>
      <c r="U987" s="3"/>
      <c r="V987" s="3"/>
      <c r="W987" s="3"/>
      <c r="X987" s="3"/>
      <c r="Y987" s="3"/>
      <c r="Z987" s="3"/>
      <c r="AA987" s="3">
        <v>48000</v>
      </c>
      <c r="AB987" s="3">
        <v>2642</v>
      </c>
      <c r="AC987" s="4">
        <v>42740</v>
      </c>
      <c r="AD987" s="3" t="s">
        <v>42</v>
      </c>
      <c r="AE987" s="3" t="s">
        <v>2563</v>
      </c>
      <c r="AF987" s="3">
        <v>0</v>
      </c>
    </row>
    <row r="988" spans="1:32" ht="27.95" x14ac:dyDescent="0.3">
      <c r="A988" s="5">
        <v>982</v>
      </c>
      <c r="B988" s="5" t="str">
        <f>"201700019544"</f>
        <v>201700019544</v>
      </c>
      <c r="C988" s="5" t="str">
        <f>"61123"</f>
        <v>61123</v>
      </c>
      <c r="D988" s="5" t="s">
        <v>5165</v>
      </c>
      <c r="E988" s="5">
        <v>20601688779</v>
      </c>
      <c r="F988" s="5" t="s">
        <v>5166</v>
      </c>
      <c r="G988" s="5" t="s">
        <v>5167</v>
      </c>
      <c r="H988" s="5" t="s">
        <v>47</v>
      </c>
      <c r="I988" s="5" t="s">
        <v>47</v>
      </c>
      <c r="J988" s="5" t="s">
        <v>47</v>
      </c>
      <c r="K988" s="5" t="s">
        <v>37</v>
      </c>
      <c r="L988" s="5" t="s">
        <v>75</v>
      </c>
      <c r="M988" s="5" t="s">
        <v>296</v>
      </c>
      <c r="N988" s="5" t="s">
        <v>5168</v>
      </c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>
        <v>8500</v>
      </c>
      <c r="AB988" s="5">
        <v>3000</v>
      </c>
      <c r="AC988" s="6">
        <v>42774</v>
      </c>
      <c r="AD988" s="5" t="s">
        <v>42</v>
      </c>
      <c r="AE988" s="5" t="s">
        <v>3215</v>
      </c>
      <c r="AF988" s="5">
        <v>480</v>
      </c>
    </row>
    <row r="989" spans="1:32" ht="55.9" x14ac:dyDescent="0.3">
      <c r="A989" s="3">
        <v>983</v>
      </c>
      <c r="B989" s="3" t="str">
        <f>"202000054337"</f>
        <v>202000054337</v>
      </c>
      <c r="C989" s="3" t="str">
        <f>"84908"</f>
        <v>84908</v>
      </c>
      <c r="D989" s="3" t="s">
        <v>5169</v>
      </c>
      <c r="E989" s="3">
        <v>20175642341</v>
      </c>
      <c r="F989" s="3" t="s">
        <v>2212</v>
      </c>
      <c r="G989" s="3" t="s">
        <v>5170</v>
      </c>
      <c r="H989" s="3" t="s">
        <v>187</v>
      </c>
      <c r="I989" s="3" t="s">
        <v>187</v>
      </c>
      <c r="J989" s="3" t="s">
        <v>188</v>
      </c>
      <c r="K989" s="3" t="s">
        <v>37</v>
      </c>
      <c r="L989" s="3" t="s">
        <v>862</v>
      </c>
      <c r="M989" s="3" t="s">
        <v>5171</v>
      </c>
      <c r="N989" s="3" t="s">
        <v>5172</v>
      </c>
      <c r="O989" s="3" t="s">
        <v>166</v>
      </c>
      <c r="P989" s="3" t="s">
        <v>51</v>
      </c>
      <c r="Q989" s="3" t="s">
        <v>78</v>
      </c>
      <c r="R989" s="3"/>
      <c r="S989" s="3"/>
      <c r="T989" s="3"/>
      <c r="U989" s="3"/>
      <c r="V989" s="3"/>
      <c r="W989" s="3"/>
      <c r="X989" s="3"/>
      <c r="Y989" s="3"/>
      <c r="Z989" s="3"/>
      <c r="AA989" s="3">
        <v>34800</v>
      </c>
      <c r="AB989" s="3">
        <v>3200</v>
      </c>
      <c r="AC989" s="4">
        <v>43956</v>
      </c>
      <c r="AD989" s="3" t="s">
        <v>42</v>
      </c>
      <c r="AE989" s="3" t="s">
        <v>5173</v>
      </c>
      <c r="AF989" s="3">
        <v>0</v>
      </c>
    </row>
    <row r="990" spans="1:32" ht="27.95" x14ac:dyDescent="0.3">
      <c r="A990" s="5">
        <v>984</v>
      </c>
      <c r="B990" s="5" t="str">
        <f>"201600114925"</f>
        <v>201600114925</v>
      </c>
      <c r="C990" s="5" t="str">
        <f>"39227"</f>
        <v>39227</v>
      </c>
      <c r="D990" s="5" t="s">
        <v>5174</v>
      </c>
      <c r="E990" s="5">
        <v>20503840121</v>
      </c>
      <c r="F990" s="5" t="s">
        <v>442</v>
      </c>
      <c r="G990" s="5" t="s">
        <v>5175</v>
      </c>
      <c r="H990" s="5" t="s">
        <v>36</v>
      </c>
      <c r="I990" s="5" t="s">
        <v>409</v>
      </c>
      <c r="J990" s="5" t="s">
        <v>410</v>
      </c>
      <c r="K990" s="5" t="s">
        <v>37</v>
      </c>
      <c r="L990" s="5" t="s">
        <v>562</v>
      </c>
      <c r="M990" s="5" t="s">
        <v>5176</v>
      </c>
      <c r="N990" s="5" t="s">
        <v>173</v>
      </c>
      <c r="O990" s="5" t="s">
        <v>4381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>
        <v>20000</v>
      </c>
      <c r="AB990" s="5">
        <v>1830</v>
      </c>
      <c r="AC990" s="6">
        <v>42594</v>
      </c>
      <c r="AD990" s="5" t="s">
        <v>42</v>
      </c>
      <c r="AE990" s="5" t="s">
        <v>399</v>
      </c>
      <c r="AF990" s="5">
        <v>0</v>
      </c>
    </row>
    <row r="991" spans="1:32" ht="41.95" x14ac:dyDescent="0.3">
      <c r="A991" s="3">
        <v>985</v>
      </c>
      <c r="B991" s="3" t="str">
        <f>"201600060110"</f>
        <v>201600060110</v>
      </c>
      <c r="C991" s="3" t="str">
        <f>"8587"</f>
        <v>8587</v>
      </c>
      <c r="D991" s="3" t="s">
        <v>5177</v>
      </c>
      <c r="E991" s="3">
        <v>20479961981</v>
      </c>
      <c r="F991" s="3" t="s">
        <v>5178</v>
      </c>
      <c r="G991" s="3" t="s">
        <v>5179</v>
      </c>
      <c r="H991" s="3" t="s">
        <v>36</v>
      </c>
      <c r="I991" s="3" t="s">
        <v>409</v>
      </c>
      <c r="J991" s="3" t="s">
        <v>738</v>
      </c>
      <c r="K991" s="3" t="s">
        <v>37</v>
      </c>
      <c r="L991" s="3" t="s">
        <v>1387</v>
      </c>
      <c r="M991" s="3" t="s">
        <v>174</v>
      </c>
      <c r="N991" s="3" t="s">
        <v>285</v>
      </c>
      <c r="O991" s="3" t="s">
        <v>5180</v>
      </c>
      <c r="P991" s="3" t="s">
        <v>248</v>
      </c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>
        <v>15270</v>
      </c>
      <c r="AB991" s="3">
        <v>3000</v>
      </c>
      <c r="AC991" s="4">
        <v>42499</v>
      </c>
      <c r="AD991" s="3" t="s">
        <v>42</v>
      </c>
      <c r="AE991" s="3" t="s">
        <v>5181</v>
      </c>
      <c r="AF991" s="3">
        <v>720</v>
      </c>
    </row>
    <row r="992" spans="1:32" ht="27.95" x14ac:dyDescent="0.3">
      <c r="A992" s="5">
        <v>986</v>
      </c>
      <c r="B992" s="5" t="str">
        <f>"201600189364"</f>
        <v>201600189364</v>
      </c>
      <c r="C992" s="5" t="str">
        <f>"19896"</f>
        <v>19896</v>
      </c>
      <c r="D992" s="5" t="s">
        <v>5182</v>
      </c>
      <c r="E992" s="5">
        <v>20319752120</v>
      </c>
      <c r="F992" s="5" t="s">
        <v>5183</v>
      </c>
      <c r="G992" s="5" t="s">
        <v>5184</v>
      </c>
      <c r="H992" s="5" t="s">
        <v>108</v>
      </c>
      <c r="I992" s="5" t="s">
        <v>144</v>
      </c>
      <c r="J992" s="5" t="s">
        <v>144</v>
      </c>
      <c r="K992" s="5" t="s">
        <v>37</v>
      </c>
      <c r="L992" s="5" t="s">
        <v>1530</v>
      </c>
      <c r="M992" s="5" t="s">
        <v>5185</v>
      </c>
      <c r="N992" s="5" t="s">
        <v>5186</v>
      </c>
      <c r="O992" s="5" t="s">
        <v>1529</v>
      </c>
      <c r="P992" s="5" t="s">
        <v>94</v>
      </c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>
        <v>19600</v>
      </c>
      <c r="AB992" s="5">
        <v>5000</v>
      </c>
      <c r="AC992" s="6">
        <v>42734</v>
      </c>
      <c r="AD992" s="5" t="s">
        <v>42</v>
      </c>
      <c r="AE992" s="5" t="s">
        <v>5187</v>
      </c>
      <c r="AF992" s="5">
        <v>480</v>
      </c>
    </row>
    <row r="993" spans="1:32" ht="27.95" x14ac:dyDescent="0.3">
      <c r="A993" s="3">
        <v>987</v>
      </c>
      <c r="B993" s="3" t="str">
        <f>"201800213420"</f>
        <v>201800213420</v>
      </c>
      <c r="C993" s="3" t="str">
        <f>"7179"</f>
        <v>7179</v>
      </c>
      <c r="D993" s="3" t="s">
        <v>5188</v>
      </c>
      <c r="E993" s="3">
        <v>20127765279</v>
      </c>
      <c r="F993" s="3" t="s">
        <v>1115</v>
      </c>
      <c r="G993" s="3" t="s">
        <v>5189</v>
      </c>
      <c r="H993" s="3" t="s">
        <v>58</v>
      </c>
      <c r="I993" s="3" t="s">
        <v>58</v>
      </c>
      <c r="J993" s="3" t="s">
        <v>1091</v>
      </c>
      <c r="K993" s="3" t="s">
        <v>37</v>
      </c>
      <c r="L993" s="3" t="s">
        <v>724</v>
      </c>
      <c r="M993" s="3" t="s">
        <v>725</v>
      </c>
      <c r="N993" s="3" t="s">
        <v>166</v>
      </c>
      <c r="O993" s="3" t="s">
        <v>166</v>
      </c>
      <c r="P993" s="3" t="s">
        <v>381</v>
      </c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>
        <v>40000</v>
      </c>
      <c r="AB993" s="3">
        <v>2000</v>
      </c>
      <c r="AC993" s="4">
        <v>43464</v>
      </c>
      <c r="AD993" s="3" t="s">
        <v>42</v>
      </c>
      <c r="AE993" s="3" t="s">
        <v>1374</v>
      </c>
      <c r="AF993" s="3">
        <v>0</v>
      </c>
    </row>
    <row r="994" spans="1:32" ht="27.95" x14ac:dyDescent="0.3">
      <c r="A994" s="5">
        <v>988</v>
      </c>
      <c r="B994" s="5" t="str">
        <f>"201800018445"</f>
        <v>201800018445</v>
      </c>
      <c r="C994" s="5" t="str">
        <f>"9434"</f>
        <v>9434</v>
      </c>
      <c r="D994" s="5" t="s">
        <v>5190</v>
      </c>
      <c r="E994" s="5">
        <v>20600995813</v>
      </c>
      <c r="F994" s="5" t="s">
        <v>5191</v>
      </c>
      <c r="G994" s="5" t="s">
        <v>5192</v>
      </c>
      <c r="H994" s="5" t="s">
        <v>58</v>
      </c>
      <c r="I994" s="5" t="s">
        <v>498</v>
      </c>
      <c r="J994" s="5" t="s">
        <v>988</v>
      </c>
      <c r="K994" s="5" t="s">
        <v>37</v>
      </c>
      <c r="L994" s="5" t="s">
        <v>65</v>
      </c>
      <c r="M994" s="5" t="s">
        <v>380</v>
      </c>
      <c r="N994" s="5" t="s">
        <v>5193</v>
      </c>
      <c r="O994" s="5" t="s">
        <v>172</v>
      </c>
      <c r="P994" s="5" t="s">
        <v>248</v>
      </c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>
        <v>20000</v>
      </c>
      <c r="AB994" s="5">
        <v>3000</v>
      </c>
      <c r="AC994" s="6">
        <v>43135</v>
      </c>
      <c r="AD994" s="5" t="s">
        <v>42</v>
      </c>
      <c r="AE994" s="5" t="s">
        <v>4460</v>
      </c>
      <c r="AF994" s="5">
        <v>0</v>
      </c>
    </row>
    <row r="995" spans="1:32" ht="41.95" x14ac:dyDescent="0.3">
      <c r="A995" s="3">
        <v>989</v>
      </c>
      <c r="B995" s="3" t="str">
        <f>"201900091328"</f>
        <v>201900091328</v>
      </c>
      <c r="C995" s="3" t="str">
        <f>"9039"</f>
        <v>9039</v>
      </c>
      <c r="D995" s="3" t="s">
        <v>5194</v>
      </c>
      <c r="E995" s="3">
        <v>10199252025</v>
      </c>
      <c r="F995" s="3" t="s">
        <v>5195</v>
      </c>
      <c r="G995" s="3" t="s">
        <v>5196</v>
      </c>
      <c r="H995" s="3" t="s">
        <v>58</v>
      </c>
      <c r="I995" s="3" t="s">
        <v>58</v>
      </c>
      <c r="J995" s="3" t="s">
        <v>545</v>
      </c>
      <c r="K995" s="3" t="s">
        <v>37</v>
      </c>
      <c r="L995" s="3" t="s">
        <v>63</v>
      </c>
      <c r="M995" s="3" t="s">
        <v>775</v>
      </c>
      <c r="N995" s="3" t="s">
        <v>1278</v>
      </c>
      <c r="O995" s="3" t="s">
        <v>174</v>
      </c>
      <c r="P995" s="3" t="s">
        <v>171</v>
      </c>
      <c r="Q995" s="3" t="s">
        <v>94</v>
      </c>
      <c r="R995" s="3"/>
      <c r="S995" s="3"/>
      <c r="T995" s="3"/>
      <c r="U995" s="3"/>
      <c r="V995" s="3"/>
      <c r="W995" s="3"/>
      <c r="X995" s="3"/>
      <c r="Y995" s="3"/>
      <c r="Z995" s="3"/>
      <c r="AA995" s="3">
        <v>26000</v>
      </c>
      <c r="AB995" s="3">
        <v>5000</v>
      </c>
      <c r="AC995" s="4">
        <v>43629</v>
      </c>
      <c r="AD995" s="3" t="s">
        <v>42</v>
      </c>
      <c r="AE995" s="3" t="s">
        <v>5195</v>
      </c>
      <c r="AF995" s="3">
        <v>240</v>
      </c>
    </row>
    <row r="996" spans="1:32" ht="27.95" x14ac:dyDescent="0.3">
      <c r="A996" s="5">
        <v>990</v>
      </c>
      <c r="B996" s="5" t="str">
        <f>"202000054045"</f>
        <v>202000054045</v>
      </c>
      <c r="C996" s="5" t="str">
        <f>"147293"</f>
        <v>147293</v>
      </c>
      <c r="D996" s="5" t="s">
        <v>5197</v>
      </c>
      <c r="E996" s="5">
        <v>10478428117</v>
      </c>
      <c r="F996" s="5" t="s">
        <v>5198</v>
      </c>
      <c r="G996" s="5" t="s">
        <v>5199</v>
      </c>
      <c r="H996" s="5" t="s">
        <v>187</v>
      </c>
      <c r="I996" s="5" t="s">
        <v>210</v>
      </c>
      <c r="J996" s="5" t="s">
        <v>3936</v>
      </c>
      <c r="K996" s="5" t="s">
        <v>37</v>
      </c>
      <c r="L996" s="5" t="s">
        <v>166</v>
      </c>
      <c r="M996" s="5" t="s">
        <v>5200</v>
      </c>
      <c r="N996" s="5" t="s">
        <v>5201</v>
      </c>
      <c r="O996" s="5" t="s">
        <v>94</v>
      </c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>
        <v>30000</v>
      </c>
      <c r="AB996" s="5">
        <v>5000</v>
      </c>
      <c r="AC996" s="6">
        <v>43954</v>
      </c>
      <c r="AD996" s="5" t="s">
        <v>42</v>
      </c>
      <c r="AE996" s="5" t="s">
        <v>5198</v>
      </c>
      <c r="AF996" s="5">
        <v>720</v>
      </c>
    </row>
    <row r="997" spans="1:32" ht="27.95" x14ac:dyDescent="0.3">
      <c r="A997" s="3">
        <v>991</v>
      </c>
      <c r="B997" s="3" t="str">
        <f>"201700155290"</f>
        <v>201700155290</v>
      </c>
      <c r="C997" s="3" t="str">
        <f>"127630"</f>
        <v>127630</v>
      </c>
      <c r="D997" s="3" t="s">
        <v>5202</v>
      </c>
      <c r="E997" s="3">
        <v>20601386519</v>
      </c>
      <c r="F997" s="3" t="s">
        <v>5203</v>
      </c>
      <c r="G997" s="3" t="s">
        <v>5204</v>
      </c>
      <c r="H997" s="3" t="s">
        <v>36</v>
      </c>
      <c r="I997" s="3" t="s">
        <v>409</v>
      </c>
      <c r="J997" s="3" t="s">
        <v>410</v>
      </c>
      <c r="K997" s="3" t="s">
        <v>37</v>
      </c>
      <c r="L997" s="3" t="s">
        <v>4402</v>
      </c>
      <c r="M997" s="3" t="s">
        <v>812</v>
      </c>
      <c r="N997" s="3" t="s">
        <v>5205</v>
      </c>
      <c r="O997" s="3" t="s">
        <v>54</v>
      </c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>
        <v>6900</v>
      </c>
      <c r="AB997" s="3">
        <v>4000</v>
      </c>
      <c r="AC997" s="4">
        <v>43018</v>
      </c>
      <c r="AD997" s="3" t="s">
        <v>42</v>
      </c>
      <c r="AE997" s="3" t="s">
        <v>5206</v>
      </c>
      <c r="AF997" s="3">
        <v>0</v>
      </c>
    </row>
    <row r="998" spans="1:32" ht="41.95" x14ac:dyDescent="0.3">
      <c r="A998" s="5">
        <v>992</v>
      </c>
      <c r="B998" s="5" t="str">
        <f>"201800213428"</f>
        <v>201800213428</v>
      </c>
      <c r="C998" s="5" t="str">
        <f>"125601"</f>
        <v>125601</v>
      </c>
      <c r="D998" s="5" t="s">
        <v>5207</v>
      </c>
      <c r="E998" s="5">
        <v>20127765279</v>
      </c>
      <c r="F998" s="5" t="s">
        <v>1115</v>
      </c>
      <c r="G998" s="5" t="s">
        <v>5208</v>
      </c>
      <c r="H998" s="5" t="s">
        <v>58</v>
      </c>
      <c r="I998" s="5" t="s">
        <v>58</v>
      </c>
      <c r="J998" s="5" t="s">
        <v>403</v>
      </c>
      <c r="K998" s="5" t="s">
        <v>37</v>
      </c>
      <c r="L998" s="5" t="s">
        <v>5209</v>
      </c>
      <c r="M998" s="5" t="s">
        <v>5210</v>
      </c>
      <c r="N998" s="5" t="s">
        <v>5211</v>
      </c>
      <c r="O998" s="5" t="s">
        <v>78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>
        <v>10340</v>
      </c>
      <c r="AB998" s="5">
        <v>3200</v>
      </c>
      <c r="AC998" s="6">
        <v>43464</v>
      </c>
      <c r="AD998" s="5" t="s">
        <v>42</v>
      </c>
      <c r="AE998" s="5" t="s">
        <v>1374</v>
      </c>
      <c r="AF998" s="5">
        <v>720</v>
      </c>
    </row>
    <row r="999" spans="1:32" ht="27.95" x14ac:dyDescent="0.3">
      <c r="A999" s="3">
        <v>993</v>
      </c>
      <c r="B999" s="3" t="str">
        <f>"201800120905"</f>
        <v>201800120905</v>
      </c>
      <c r="C999" s="3" t="str">
        <f>"132301"</f>
        <v>132301</v>
      </c>
      <c r="D999" s="3" t="s">
        <v>5212</v>
      </c>
      <c r="E999" s="3">
        <v>20568990812</v>
      </c>
      <c r="F999" s="3" t="s">
        <v>5213</v>
      </c>
      <c r="G999" s="3" t="s">
        <v>5214</v>
      </c>
      <c r="H999" s="3" t="s">
        <v>108</v>
      </c>
      <c r="I999" s="3" t="s">
        <v>647</v>
      </c>
      <c r="J999" s="3" t="s">
        <v>4195</v>
      </c>
      <c r="K999" s="3" t="s">
        <v>37</v>
      </c>
      <c r="L999" s="3" t="s">
        <v>110</v>
      </c>
      <c r="M999" s="3" t="s">
        <v>5215</v>
      </c>
      <c r="N999" s="3" t="s">
        <v>94</v>
      </c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>
        <v>13000</v>
      </c>
      <c r="AB999" s="3">
        <v>5000</v>
      </c>
      <c r="AC999" s="4">
        <v>43307</v>
      </c>
      <c r="AD999" s="3" t="s">
        <v>42</v>
      </c>
      <c r="AE999" s="3" t="s">
        <v>5216</v>
      </c>
      <c r="AF999" s="3">
        <v>480</v>
      </c>
    </row>
    <row r="1000" spans="1:32" x14ac:dyDescent="0.3">
      <c r="A1000" s="5">
        <v>994</v>
      </c>
      <c r="B1000" s="5" t="str">
        <f>"201600124637"</f>
        <v>201600124637</v>
      </c>
      <c r="C1000" s="5" t="str">
        <f>"19863"</f>
        <v>19863</v>
      </c>
      <c r="D1000" s="5" t="s">
        <v>5217</v>
      </c>
      <c r="E1000" s="5">
        <v>20453498299</v>
      </c>
      <c r="F1000" s="5" t="s">
        <v>3418</v>
      </c>
      <c r="G1000" s="5" t="s">
        <v>5218</v>
      </c>
      <c r="H1000" s="5" t="s">
        <v>134</v>
      </c>
      <c r="I1000" s="5" t="s">
        <v>134</v>
      </c>
      <c r="J1000" s="5" t="s">
        <v>134</v>
      </c>
      <c r="K1000" s="5" t="s">
        <v>37</v>
      </c>
      <c r="L1000" s="5" t="s">
        <v>1551</v>
      </c>
      <c r="M1000" s="5" t="s">
        <v>971</v>
      </c>
      <c r="N1000" s="5" t="s">
        <v>76</v>
      </c>
      <c r="O1000" s="5" t="s">
        <v>174</v>
      </c>
      <c r="P1000" s="5" t="s">
        <v>4888</v>
      </c>
      <c r="Q1000" s="5" t="s">
        <v>2174</v>
      </c>
      <c r="R1000" s="5" t="s">
        <v>2990</v>
      </c>
      <c r="S1000" s="5" t="s">
        <v>4888</v>
      </c>
      <c r="T1000" s="5" t="s">
        <v>94</v>
      </c>
      <c r="U1000" s="5"/>
      <c r="V1000" s="5"/>
      <c r="W1000" s="5"/>
      <c r="X1000" s="5"/>
      <c r="Y1000" s="5"/>
      <c r="Z1000" s="5"/>
      <c r="AA1000" s="5">
        <v>21500</v>
      </c>
      <c r="AB1000" s="5">
        <v>5000</v>
      </c>
      <c r="AC1000" s="6">
        <v>42614</v>
      </c>
      <c r="AD1000" s="5" t="s">
        <v>42</v>
      </c>
      <c r="AE1000" s="5" t="s">
        <v>3420</v>
      </c>
      <c r="AF1000" s="5">
        <v>720</v>
      </c>
    </row>
    <row r="1001" spans="1:32" ht="27.95" x14ac:dyDescent="0.3">
      <c r="A1001" s="3">
        <v>995</v>
      </c>
      <c r="B1001" s="3" t="str">
        <f>"201600137525"</f>
        <v>201600137525</v>
      </c>
      <c r="C1001" s="3" t="str">
        <f>"9553"</f>
        <v>9553</v>
      </c>
      <c r="D1001" s="3" t="s">
        <v>5219</v>
      </c>
      <c r="E1001" s="3">
        <v>20221172117</v>
      </c>
      <c r="F1001" s="3" t="s">
        <v>5220</v>
      </c>
      <c r="G1001" s="3" t="s">
        <v>5221</v>
      </c>
      <c r="H1001" s="3" t="s">
        <v>116</v>
      </c>
      <c r="I1001" s="3" t="s">
        <v>339</v>
      </c>
      <c r="J1001" s="3" t="s">
        <v>612</v>
      </c>
      <c r="K1001" s="3" t="s">
        <v>37</v>
      </c>
      <c r="L1001" s="3" t="s">
        <v>52</v>
      </c>
      <c r="M1001" s="3" t="s">
        <v>52</v>
      </c>
      <c r="N1001" s="3" t="s">
        <v>61</v>
      </c>
      <c r="O1001" s="3" t="s">
        <v>5222</v>
      </c>
      <c r="P1001" s="3" t="s">
        <v>5043</v>
      </c>
      <c r="Q1001" s="3" t="s">
        <v>5223</v>
      </c>
      <c r="R1001" s="3"/>
      <c r="S1001" s="3"/>
      <c r="T1001" s="3"/>
      <c r="U1001" s="3"/>
      <c r="V1001" s="3"/>
      <c r="W1001" s="3"/>
      <c r="X1001" s="3"/>
      <c r="Y1001" s="3"/>
      <c r="Z1001" s="3"/>
      <c r="AA1001" s="3">
        <v>37200</v>
      </c>
      <c r="AB1001" s="3">
        <v>6200</v>
      </c>
      <c r="AC1001" s="4">
        <v>42652</v>
      </c>
      <c r="AD1001" s="3" t="s">
        <v>42</v>
      </c>
      <c r="AE1001" s="3" t="s">
        <v>5224</v>
      </c>
      <c r="AF1001" s="3">
        <v>0</v>
      </c>
    </row>
    <row r="1002" spans="1:32" ht="27.95" x14ac:dyDescent="0.3">
      <c r="A1002" s="5">
        <v>996</v>
      </c>
      <c r="B1002" s="5" t="str">
        <f>"202000013281"</f>
        <v>202000013281</v>
      </c>
      <c r="C1002" s="5" t="str">
        <f>"9028"</f>
        <v>9028</v>
      </c>
      <c r="D1002" s="5" t="s">
        <v>5225</v>
      </c>
      <c r="E1002" s="5">
        <v>20602754830</v>
      </c>
      <c r="F1002" s="5" t="s">
        <v>5226</v>
      </c>
      <c r="G1002" s="5" t="s">
        <v>5227</v>
      </c>
      <c r="H1002" s="5" t="s">
        <v>116</v>
      </c>
      <c r="I1002" s="5" t="s">
        <v>339</v>
      </c>
      <c r="J1002" s="5" t="s">
        <v>340</v>
      </c>
      <c r="K1002" s="5" t="s">
        <v>37</v>
      </c>
      <c r="L1002" s="5" t="s">
        <v>5228</v>
      </c>
      <c r="M1002" s="5" t="s">
        <v>4162</v>
      </c>
      <c r="N1002" s="5" t="s">
        <v>2028</v>
      </c>
      <c r="O1002" s="5" t="s">
        <v>1007</v>
      </c>
      <c r="P1002" s="5" t="s">
        <v>1153</v>
      </c>
      <c r="Q1002" s="5" t="s">
        <v>66</v>
      </c>
      <c r="R1002" s="5"/>
      <c r="S1002" s="5"/>
      <c r="T1002" s="5"/>
      <c r="U1002" s="5"/>
      <c r="V1002" s="5"/>
      <c r="W1002" s="5"/>
      <c r="X1002" s="5"/>
      <c r="Y1002" s="5"/>
      <c r="Z1002" s="5"/>
      <c r="AA1002" s="5">
        <v>22500</v>
      </c>
      <c r="AB1002" s="5">
        <v>4500</v>
      </c>
      <c r="AC1002" s="6">
        <v>43854</v>
      </c>
      <c r="AD1002" s="5" t="s">
        <v>42</v>
      </c>
      <c r="AE1002" s="5" t="s">
        <v>5229</v>
      </c>
      <c r="AF1002" s="5">
        <v>720</v>
      </c>
    </row>
    <row r="1003" spans="1:32" x14ac:dyDescent="0.3">
      <c r="A1003" s="3">
        <v>997</v>
      </c>
      <c r="B1003" s="3" t="str">
        <f>"201700114938"</f>
        <v>201700114938</v>
      </c>
      <c r="C1003" s="3" t="str">
        <f>"6740"</f>
        <v>6740</v>
      </c>
      <c r="D1003" s="3" t="s">
        <v>5230</v>
      </c>
      <c r="E1003" s="3">
        <v>20601199824</v>
      </c>
      <c r="F1003" s="3" t="s">
        <v>5231</v>
      </c>
      <c r="G1003" s="3" t="s">
        <v>5232</v>
      </c>
      <c r="H1003" s="3" t="s">
        <v>58</v>
      </c>
      <c r="I1003" s="3" t="s">
        <v>58</v>
      </c>
      <c r="J1003" s="3" t="s">
        <v>403</v>
      </c>
      <c r="K1003" s="3" t="s">
        <v>37</v>
      </c>
      <c r="L1003" s="3" t="s">
        <v>63</v>
      </c>
      <c r="M1003" s="3" t="s">
        <v>74</v>
      </c>
      <c r="N1003" s="3" t="s">
        <v>5066</v>
      </c>
      <c r="O1003" s="3" t="s">
        <v>76</v>
      </c>
      <c r="P1003" s="3" t="s">
        <v>5233</v>
      </c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>
        <v>12000</v>
      </c>
      <c r="AB1003" s="3">
        <v>2747</v>
      </c>
      <c r="AC1003" s="4">
        <v>42947</v>
      </c>
      <c r="AD1003" s="3" t="s">
        <v>42</v>
      </c>
      <c r="AE1003" s="3" t="s">
        <v>5234</v>
      </c>
      <c r="AF1003" s="3">
        <v>720</v>
      </c>
    </row>
    <row r="1004" spans="1:32" ht="27.95" x14ac:dyDescent="0.3">
      <c r="A1004" s="5">
        <v>998</v>
      </c>
      <c r="B1004" s="5" t="str">
        <f>"202000147899"</f>
        <v>202000147899</v>
      </c>
      <c r="C1004" s="5" t="str">
        <f>"9470"</f>
        <v>9470</v>
      </c>
      <c r="D1004" s="5" t="s">
        <v>5235</v>
      </c>
      <c r="E1004" s="5">
        <v>20127765279</v>
      </c>
      <c r="F1004" s="5" t="s">
        <v>1115</v>
      </c>
      <c r="G1004" s="5" t="s">
        <v>5236</v>
      </c>
      <c r="H1004" s="5" t="s">
        <v>89</v>
      </c>
      <c r="I1004" s="5" t="s">
        <v>89</v>
      </c>
      <c r="J1004" s="5" t="s">
        <v>309</v>
      </c>
      <c r="K1004" s="5" t="s">
        <v>37</v>
      </c>
      <c r="L1004" s="5" t="s">
        <v>174</v>
      </c>
      <c r="M1004" s="5" t="s">
        <v>171</v>
      </c>
      <c r="N1004" s="5" t="s">
        <v>172</v>
      </c>
      <c r="O1004" s="5" t="s">
        <v>2277</v>
      </c>
      <c r="P1004" s="5" t="s">
        <v>54</v>
      </c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>
        <v>16000</v>
      </c>
      <c r="AB1004" s="5">
        <v>4000</v>
      </c>
      <c r="AC1004" s="6">
        <v>44127</v>
      </c>
      <c r="AD1004" s="5" t="s">
        <v>42</v>
      </c>
      <c r="AE1004" s="5" t="s">
        <v>279</v>
      </c>
      <c r="AF1004" s="5">
        <v>0</v>
      </c>
    </row>
    <row r="1005" spans="1:32" ht="27.95" x14ac:dyDescent="0.3">
      <c r="A1005" s="3">
        <v>999</v>
      </c>
      <c r="B1005" s="3" t="str">
        <f>"201800046474"</f>
        <v>201800046474</v>
      </c>
      <c r="C1005" s="3" t="str">
        <f>"95643"</f>
        <v>95643</v>
      </c>
      <c r="D1005" s="3" t="s">
        <v>5237</v>
      </c>
      <c r="E1005" s="3">
        <v>20510422121</v>
      </c>
      <c r="F1005" s="3" t="s">
        <v>5238</v>
      </c>
      <c r="G1005" s="3" t="s">
        <v>5239</v>
      </c>
      <c r="H1005" s="3" t="s">
        <v>58</v>
      </c>
      <c r="I1005" s="3" t="s">
        <v>58</v>
      </c>
      <c r="J1005" s="3" t="s">
        <v>403</v>
      </c>
      <c r="K1005" s="3" t="s">
        <v>37</v>
      </c>
      <c r="L1005" s="3" t="s">
        <v>5240</v>
      </c>
      <c r="M1005" s="3" t="s">
        <v>78</v>
      </c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>
        <v>5227</v>
      </c>
      <c r="AB1005" s="3">
        <v>3200</v>
      </c>
      <c r="AC1005" s="4">
        <v>43180</v>
      </c>
      <c r="AD1005" s="3" t="s">
        <v>42</v>
      </c>
      <c r="AE1005" s="3" t="s">
        <v>5241</v>
      </c>
      <c r="AF1005" s="3">
        <v>480</v>
      </c>
    </row>
    <row r="1006" spans="1:32" ht="27.95" x14ac:dyDescent="0.3">
      <c r="A1006" s="5">
        <v>1000</v>
      </c>
      <c r="B1006" s="5" t="str">
        <f>"201800049770"</f>
        <v>201800049770</v>
      </c>
      <c r="C1006" s="5" t="str">
        <f>"82999"</f>
        <v>82999</v>
      </c>
      <c r="D1006" s="5" t="s">
        <v>5242</v>
      </c>
      <c r="E1006" s="5">
        <v>20602840833</v>
      </c>
      <c r="F1006" s="5" t="s">
        <v>5243</v>
      </c>
      <c r="G1006" s="5" t="s">
        <v>5244</v>
      </c>
      <c r="H1006" s="5" t="s">
        <v>108</v>
      </c>
      <c r="I1006" s="5" t="s">
        <v>109</v>
      </c>
      <c r="J1006" s="5" t="s">
        <v>109</v>
      </c>
      <c r="K1006" s="5" t="s">
        <v>37</v>
      </c>
      <c r="L1006" s="5" t="s">
        <v>238</v>
      </c>
      <c r="M1006" s="5" t="s">
        <v>322</v>
      </c>
      <c r="N1006" s="5" t="s">
        <v>172</v>
      </c>
      <c r="O1006" s="5" t="s">
        <v>2028</v>
      </c>
      <c r="P1006" s="5" t="s">
        <v>54</v>
      </c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>
        <v>11000</v>
      </c>
      <c r="AB1006" s="5">
        <v>4000</v>
      </c>
      <c r="AC1006" s="6">
        <v>43186</v>
      </c>
      <c r="AD1006" s="5" t="s">
        <v>42</v>
      </c>
      <c r="AE1006" s="5" t="s">
        <v>5245</v>
      </c>
      <c r="AF1006" s="5">
        <v>0</v>
      </c>
    </row>
    <row r="1007" spans="1:32" ht="27.95" x14ac:dyDescent="0.3">
      <c r="A1007" s="3">
        <v>1001</v>
      </c>
      <c r="B1007" s="3" t="str">
        <f>"202000060938"</f>
        <v>202000060938</v>
      </c>
      <c r="C1007" s="3" t="str">
        <f>"41554"</f>
        <v>41554</v>
      </c>
      <c r="D1007" s="3" t="s">
        <v>5246</v>
      </c>
      <c r="E1007" s="3">
        <v>20568820909</v>
      </c>
      <c r="F1007" s="3" t="s">
        <v>5247</v>
      </c>
      <c r="G1007" s="3" t="s">
        <v>5248</v>
      </c>
      <c r="H1007" s="3" t="s">
        <v>108</v>
      </c>
      <c r="I1007" s="3" t="s">
        <v>144</v>
      </c>
      <c r="J1007" s="3" t="s">
        <v>145</v>
      </c>
      <c r="K1007" s="3" t="s">
        <v>37</v>
      </c>
      <c r="L1007" s="3" t="s">
        <v>3714</v>
      </c>
      <c r="M1007" s="3" t="s">
        <v>922</v>
      </c>
      <c r="N1007" s="3" t="s">
        <v>174</v>
      </c>
      <c r="O1007" s="3" t="s">
        <v>120</v>
      </c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>
        <v>22400</v>
      </c>
      <c r="AB1007" s="3">
        <v>3500</v>
      </c>
      <c r="AC1007" s="4">
        <v>43986</v>
      </c>
      <c r="AD1007" s="3" t="s">
        <v>42</v>
      </c>
      <c r="AE1007" s="3" t="s">
        <v>5249</v>
      </c>
      <c r="AF1007" s="3">
        <v>480</v>
      </c>
    </row>
    <row r="1008" spans="1:32" x14ac:dyDescent="0.3">
      <c r="A1008" s="5">
        <v>1002</v>
      </c>
      <c r="B1008" s="5" t="str">
        <f>"201800213230"</f>
        <v>201800213230</v>
      </c>
      <c r="C1008" s="5" t="str">
        <f>"17947"</f>
        <v>17947</v>
      </c>
      <c r="D1008" s="5" t="s">
        <v>5250</v>
      </c>
      <c r="E1008" s="5">
        <v>20343883936</v>
      </c>
      <c r="F1008" s="5" t="s">
        <v>5251</v>
      </c>
      <c r="G1008" s="5" t="s">
        <v>5252</v>
      </c>
      <c r="H1008" s="5" t="s">
        <v>58</v>
      </c>
      <c r="I1008" s="5" t="s">
        <v>58</v>
      </c>
      <c r="J1008" s="5" t="s">
        <v>58</v>
      </c>
      <c r="K1008" s="5" t="s">
        <v>37</v>
      </c>
      <c r="L1008" s="5" t="s">
        <v>72</v>
      </c>
      <c r="M1008" s="5" t="s">
        <v>60</v>
      </c>
      <c r="N1008" s="5" t="s">
        <v>61</v>
      </c>
      <c r="O1008" s="5" t="s">
        <v>1686</v>
      </c>
      <c r="P1008" s="5" t="s">
        <v>172</v>
      </c>
      <c r="Q1008" s="5" t="s">
        <v>381</v>
      </c>
      <c r="R1008" s="5"/>
      <c r="S1008" s="5"/>
      <c r="T1008" s="5"/>
      <c r="U1008" s="5"/>
      <c r="V1008" s="5"/>
      <c r="W1008" s="5"/>
      <c r="X1008" s="5"/>
      <c r="Y1008" s="5"/>
      <c r="Z1008" s="5"/>
      <c r="AA1008" s="5">
        <v>36000</v>
      </c>
      <c r="AB1008" s="5">
        <v>2000</v>
      </c>
      <c r="AC1008" s="6">
        <v>43465</v>
      </c>
      <c r="AD1008" s="5" t="s">
        <v>42</v>
      </c>
      <c r="AE1008" s="5" t="s">
        <v>5253</v>
      </c>
      <c r="AF1008" s="5">
        <v>0</v>
      </c>
    </row>
    <row r="1009" spans="1:32" ht="41.95" x14ac:dyDescent="0.3">
      <c r="A1009" s="3">
        <v>1003</v>
      </c>
      <c r="B1009" s="3" t="str">
        <f>"202000013284"</f>
        <v>202000013284</v>
      </c>
      <c r="C1009" s="3" t="str">
        <f>"33301"</f>
        <v>33301</v>
      </c>
      <c r="D1009" s="3" t="s">
        <v>5254</v>
      </c>
      <c r="E1009" s="3">
        <v>20602754830</v>
      </c>
      <c r="F1009" s="3" t="s">
        <v>5226</v>
      </c>
      <c r="G1009" s="3" t="s">
        <v>5255</v>
      </c>
      <c r="H1009" s="3" t="s">
        <v>116</v>
      </c>
      <c r="I1009" s="3" t="s">
        <v>339</v>
      </c>
      <c r="J1009" s="3" t="s">
        <v>340</v>
      </c>
      <c r="K1009" s="3" t="s">
        <v>37</v>
      </c>
      <c r="L1009" s="3" t="s">
        <v>754</v>
      </c>
      <c r="M1009" s="3" t="s">
        <v>459</v>
      </c>
      <c r="N1009" s="3" t="s">
        <v>128</v>
      </c>
      <c r="O1009" s="3" t="s">
        <v>128</v>
      </c>
      <c r="P1009" s="3" t="s">
        <v>719</v>
      </c>
      <c r="Q1009" s="3" t="s">
        <v>120</v>
      </c>
      <c r="R1009" s="3"/>
      <c r="S1009" s="3"/>
      <c r="T1009" s="3"/>
      <c r="U1009" s="3"/>
      <c r="V1009" s="3"/>
      <c r="W1009" s="3"/>
      <c r="X1009" s="3"/>
      <c r="Y1009" s="3"/>
      <c r="Z1009" s="3"/>
      <c r="AA1009" s="3">
        <v>22000</v>
      </c>
      <c r="AB1009" s="3">
        <v>3500</v>
      </c>
      <c r="AC1009" s="4">
        <v>43854</v>
      </c>
      <c r="AD1009" s="3" t="s">
        <v>42</v>
      </c>
      <c r="AE1009" s="3" t="s">
        <v>5229</v>
      </c>
      <c r="AF1009" s="3">
        <v>720</v>
      </c>
    </row>
    <row r="1010" spans="1:32" ht="27.95" x14ac:dyDescent="0.3">
      <c r="A1010" s="5">
        <v>1004</v>
      </c>
      <c r="B1010" s="5" t="str">
        <f>"201900154056"</f>
        <v>201900154056</v>
      </c>
      <c r="C1010" s="5" t="str">
        <f>"138210"</f>
        <v>138210</v>
      </c>
      <c r="D1010" s="5" t="s">
        <v>5256</v>
      </c>
      <c r="E1010" s="5">
        <v>20603219903</v>
      </c>
      <c r="F1010" s="5" t="s">
        <v>5257</v>
      </c>
      <c r="G1010" s="5" t="s">
        <v>5258</v>
      </c>
      <c r="H1010" s="5" t="s">
        <v>935</v>
      </c>
      <c r="I1010" s="5" t="s">
        <v>1133</v>
      </c>
      <c r="J1010" s="5" t="s">
        <v>1133</v>
      </c>
      <c r="K1010" s="5" t="s">
        <v>37</v>
      </c>
      <c r="L1010" s="5" t="s">
        <v>5259</v>
      </c>
      <c r="M1010" s="5" t="s">
        <v>5259</v>
      </c>
      <c r="N1010" s="5" t="s">
        <v>5260</v>
      </c>
      <c r="O1010" s="5" t="s">
        <v>5261</v>
      </c>
      <c r="P1010" s="5" t="s">
        <v>5262</v>
      </c>
      <c r="Q1010" s="5" t="s">
        <v>5263</v>
      </c>
      <c r="R1010" s="5"/>
      <c r="S1010" s="5"/>
      <c r="T1010" s="5"/>
      <c r="U1010" s="5"/>
      <c r="V1010" s="5"/>
      <c r="W1010" s="5"/>
      <c r="X1010" s="5"/>
      <c r="Y1010" s="5"/>
      <c r="Z1010" s="5"/>
      <c r="AA1010" s="5">
        <v>11045</v>
      </c>
      <c r="AB1010" s="5">
        <v>5450</v>
      </c>
      <c r="AC1010" s="6">
        <v>43730</v>
      </c>
      <c r="AD1010" s="5" t="s">
        <v>42</v>
      </c>
      <c r="AE1010" s="5" t="s">
        <v>5264</v>
      </c>
      <c r="AF1010" s="5">
        <v>0</v>
      </c>
    </row>
    <row r="1011" spans="1:32" ht="27.95" x14ac:dyDescent="0.3">
      <c r="A1011" s="3">
        <v>1005</v>
      </c>
      <c r="B1011" s="3" t="str">
        <f>"201800027851"</f>
        <v>201800027851</v>
      </c>
      <c r="C1011" s="3" t="str">
        <f>"110659"</f>
        <v>110659</v>
      </c>
      <c r="D1011" s="3" t="s">
        <v>5265</v>
      </c>
      <c r="E1011" s="3">
        <v>20554259147</v>
      </c>
      <c r="F1011" s="3" t="s">
        <v>5266</v>
      </c>
      <c r="G1011" s="3" t="s">
        <v>5267</v>
      </c>
      <c r="H1011" s="3" t="s">
        <v>58</v>
      </c>
      <c r="I1011" s="3" t="s">
        <v>58</v>
      </c>
      <c r="J1011" s="3" t="s">
        <v>1058</v>
      </c>
      <c r="K1011" s="3" t="s">
        <v>37</v>
      </c>
      <c r="L1011" s="3" t="s">
        <v>240</v>
      </c>
      <c r="M1011" s="3" t="s">
        <v>276</v>
      </c>
      <c r="N1011" s="3" t="s">
        <v>1852</v>
      </c>
      <c r="O1011" s="3" t="s">
        <v>94</v>
      </c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>
        <v>5200</v>
      </c>
      <c r="AB1011" s="3">
        <v>5000</v>
      </c>
      <c r="AC1011" s="4">
        <v>43151</v>
      </c>
      <c r="AD1011" s="3" t="s">
        <v>42</v>
      </c>
      <c r="AE1011" s="3" t="s">
        <v>1432</v>
      </c>
      <c r="AF1011" s="3">
        <v>240</v>
      </c>
    </row>
    <row r="1012" spans="1:32" x14ac:dyDescent="0.3">
      <c r="A1012" s="5">
        <v>1006</v>
      </c>
      <c r="B1012" s="5" t="str">
        <f>"201500077922"</f>
        <v>201500077922</v>
      </c>
      <c r="C1012" s="5" t="str">
        <f>"9317"</f>
        <v>9317</v>
      </c>
      <c r="D1012" s="5" t="s">
        <v>5268</v>
      </c>
      <c r="E1012" s="5">
        <v>20600393848</v>
      </c>
      <c r="F1012" s="5" t="s">
        <v>5269</v>
      </c>
      <c r="G1012" s="5" t="s">
        <v>5270</v>
      </c>
      <c r="H1012" s="5" t="s">
        <v>108</v>
      </c>
      <c r="I1012" s="5" t="s">
        <v>109</v>
      </c>
      <c r="J1012" s="5" t="s">
        <v>109</v>
      </c>
      <c r="K1012" s="5" t="s">
        <v>37</v>
      </c>
      <c r="L1012" s="5" t="s">
        <v>5271</v>
      </c>
      <c r="M1012" s="5" t="s">
        <v>1479</v>
      </c>
      <c r="N1012" s="5" t="s">
        <v>76</v>
      </c>
      <c r="O1012" s="5" t="s">
        <v>3663</v>
      </c>
      <c r="P1012" s="5" t="s">
        <v>5272</v>
      </c>
      <c r="Q1012" s="5" t="s">
        <v>94</v>
      </c>
      <c r="R1012" s="5"/>
      <c r="S1012" s="5"/>
      <c r="T1012" s="5"/>
      <c r="U1012" s="5"/>
      <c r="V1012" s="5"/>
      <c r="W1012" s="5"/>
      <c r="X1012" s="5"/>
      <c r="Y1012" s="5"/>
      <c r="Z1012" s="5"/>
      <c r="AA1012" s="5">
        <v>31900</v>
      </c>
      <c r="AB1012" s="5">
        <v>5000</v>
      </c>
      <c r="AC1012" s="6">
        <v>42173</v>
      </c>
      <c r="AD1012" s="5" t="s">
        <v>42</v>
      </c>
      <c r="AE1012" s="5" t="s">
        <v>5273</v>
      </c>
      <c r="AF1012" s="5">
        <v>240</v>
      </c>
    </row>
    <row r="1013" spans="1:32" ht="27.95" x14ac:dyDescent="0.3">
      <c r="A1013" s="3">
        <v>1007</v>
      </c>
      <c r="B1013" s="3" t="str">
        <f>"201900035398"</f>
        <v>201900035398</v>
      </c>
      <c r="C1013" s="3" t="str">
        <f>"127495"</f>
        <v>127495</v>
      </c>
      <c r="D1013" s="3" t="s">
        <v>5274</v>
      </c>
      <c r="E1013" s="3">
        <v>20524363977</v>
      </c>
      <c r="F1013" s="3" t="s">
        <v>5275</v>
      </c>
      <c r="G1013" s="3" t="s">
        <v>5276</v>
      </c>
      <c r="H1013" s="3" t="s">
        <v>58</v>
      </c>
      <c r="I1013" s="3" t="s">
        <v>823</v>
      </c>
      <c r="J1013" s="3" t="s">
        <v>823</v>
      </c>
      <c r="K1013" s="3" t="s">
        <v>37</v>
      </c>
      <c r="L1013" s="3" t="s">
        <v>63</v>
      </c>
      <c r="M1013" s="3" t="s">
        <v>5277</v>
      </c>
      <c r="N1013" s="3" t="s">
        <v>78</v>
      </c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>
        <v>12000</v>
      </c>
      <c r="AB1013" s="3">
        <v>3200</v>
      </c>
      <c r="AC1013" s="4">
        <v>43531</v>
      </c>
      <c r="AD1013" s="3" t="s">
        <v>42</v>
      </c>
      <c r="AE1013" s="3" t="s">
        <v>5278</v>
      </c>
      <c r="AF1013" s="3">
        <v>0</v>
      </c>
    </row>
    <row r="1014" spans="1:32" x14ac:dyDescent="0.3">
      <c r="A1014" s="5">
        <v>1008</v>
      </c>
      <c r="B1014" s="5" t="str">
        <f>"1699265"</f>
        <v>1699265</v>
      </c>
      <c r="C1014" s="5" t="str">
        <f>"7132"</f>
        <v>7132</v>
      </c>
      <c r="D1014" s="5" t="s">
        <v>5279</v>
      </c>
      <c r="E1014" s="5">
        <v>20198954757</v>
      </c>
      <c r="F1014" s="5" t="s">
        <v>5280</v>
      </c>
      <c r="G1014" s="5" t="s">
        <v>5281</v>
      </c>
      <c r="H1014" s="5" t="s">
        <v>58</v>
      </c>
      <c r="I1014" s="5" t="s">
        <v>554</v>
      </c>
      <c r="J1014" s="5" t="s">
        <v>554</v>
      </c>
      <c r="K1014" s="5" t="s">
        <v>37</v>
      </c>
      <c r="L1014" s="5" t="s">
        <v>5282</v>
      </c>
      <c r="M1014" s="5" t="s">
        <v>247</v>
      </c>
      <c r="N1014" s="5" t="s">
        <v>152</v>
      </c>
      <c r="O1014" s="5" t="s">
        <v>2415</v>
      </c>
      <c r="P1014" s="5" t="s">
        <v>5078</v>
      </c>
      <c r="Q1014" s="5" t="s">
        <v>3684</v>
      </c>
      <c r="R1014" s="5" t="s">
        <v>94</v>
      </c>
      <c r="S1014" s="5"/>
      <c r="T1014" s="5"/>
      <c r="U1014" s="5"/>
      <c r="V1014" s="5"/>
      <c r="W1014" s="5"/>
      <c r="X1014" s="5"/>
      <c r="Y1014" s="5"/>
      <c r="Z1014" s="5"/>
      <c r="AA1014" s="5">
        <v>33000</v>
      </c>
      <c r="AB1014" s="5">
        <v>5000</v>
      </c>
      <c r="AC1014" s="6">
        <v>39272</v>
      </c>
      <c r="AD1014" s="5" t="s">
        <v>42</v>
      </c>
      <c r="AE1014" s="5" t="s">
        <v>5283</v>
      </c>
      <c r="AF1014" s="5">
        <v>0</v>
      </c>
    </row>
    <row r="1015" spans="1:32" ht="27.95" x14ac:dyDescent="0.3">
      <c r="A1015" s="3">
        <v>1009</v>
      </c>
      <c r="B1015" s="3" t="str">
        <f>"201600107286"</f>
        <v>201600107286</v>
      </c>
      <c r="C1015" s="3" t="str">
        <f>"122906"</f>
        <v>122906</v>
      </c>
      <c r="D1015" s="3" t="s">
        <v>5284</v>
      </c>
      <c r="E1015" s="3">
        <v>20534905573</v>
      </c>
      <c r="F1015" s="3" t="s">
        <v>5285</v>
      </c>
      <c r="G1015" s="3" t="s">
        <v>5286</v>
      </c>
      <c r="H1015" s="3" t="s">
        <v>47</v>
      </c>
      <c r="I1015" s="3" t="s">
        <v>47</v>
      </c>
      <c r="J1015" s="3" t="s">
        <v>2880</v>
      </c>
      <c r="K1015" s="3" t="s">
        <v>37</v>
      </c>
      <c r="L1015" s="3" t="s">
        <v>5287</v>
      </c>
      <c r="M1015" s="3" t="s">
        <v>5287</v>
      </c>
      <c r="N1015" s="3" t="s">
        <v>84</v>
      </c>
      <c r="O1015" s="3" t="s">
        <v>5288</v>
      </c>
      <c r="P1015" s="3" t="s">
        <v>120</v>
      </c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>
        <v>17000</v>
      </c>
      <c r="AB1015" s="3">
        <v>3500</v>
      </c>
      <c r="AC1015" s="4">
        <v>42576</v>
      </c>
      <c r="AD1015" s="3" t="s">
        <v>42</v>
      </c>
      <c r="AE1015" s="3" t="s">
        <v>3136</v>
      </c>
      <c r="AF1015" s="3">
        <v>0</v>
      </c>
    </row>
    <row r="1016" spans="1:32" x14ac:dyDescent="0.3">
      <c r="A1016" s="5">
        <v>1010</v>
      </c>
      <c r="B1016" s="5" t="str">
        <f>"201900155307"</f>
        <v>201900155307</v>
      </c>
      <c r="C1016" s="5" t="str">
        <f>"6847"</f>
        <v>6847</v>
      </c>
      <c r="D1016" s="5" t="s">
        <v>5289</v>
      </c>
      <c r="E1016" s="5">
        <v>20477595449</v>
      </c>
      <c r="F1016" s="5" t="s">
        <v>5290</v>
      </c>
      <c r="G1016" s="5" t="s">
        <v>5291</v>
      </c>
      <c r="H1016" s="5" t="s">
        <v>219</v>
      </c>
      <c r="I1016" s="5" t="s">
        <v>220</v>
      </c>
      <c r="J1016" s="5" t="s">
        <v>220</v>
      </c>
      <c r="K1016" s="5" t="s">
        <v>37</v>
      </c>
      <c r="L1016" s="5" t="s">
        <v>1314</v>
      </c>
      <c r="M1016" s="5" t="s">
        <v>161</v>
      </c>
      <c r="N1016" s="5" t="s">
        <v>263</v>
      </c>
      <c r="O1016" s="5" t="s">
        <v>63</v>
      </c>
      <c r="P1016" s="5" t="s">
        <v>63</v>
      </c>
      <c r="Q1016" s="5" t="s">
        <v>2282</v>
      </c>
      <c r="R1016" s="5"/>
      <c r="S1016" s="5"/>
      <c r="T1016" s="5"/>
      <c r="U1016" s="5"/>
      <c r="V1016" s="5"/>
      <c r="W1016" s="5"/>
      <c r="X1016" s="5"/>
      <c r="Y1016" s="5"/>
      <c r="Z1016" s="5"/>
      <c r="AA1016" s="5">
        <v>28500</v>
      </c>
      <c r="AB1016" s="5">
        <v>8000</v>
      </c>
      <c r="AC1016" s="6">
        <v>43747</v>
      </c>
      <c r="AD1016" s="5" t="s">
        <v>42</v>
      </c>
      <c r="AE1016" s="5" t="s">
        <v>5292</v>
      </c>
      <c r="AF1016" s="5">
        <v>720</v>
      </c>
    </row>
    <row r="1017" spans="1:32" x14ac:dyDescent="0.3">
      <c r="A1017" s="3">
        <v>1011</v>
      </c>
      <c r="B1017" s="3" t="str">
        <f>"202000056744"</f>
        <v>202000056744</v>
      </c>
      <c r="C1017" s="3" t="str">
        <f>"18504"</f>
        <v>18504</v>
      </c>
      <c r="D1017" s="3" t="s">
        <v>5293</v>
      </c>
      <c r="E1017" s="3">
        <v>20484259764</v>
      </c>
      <c r="F1017" s="3" t="s">
        <v>5294</v>
      </c>
      <c r="G1017" s="3" t="s">
        <v>5295</v>
      </c>
      <c r="H1017" s="3" t="s">
        <v>187</v>
      </c>
      <c r="I1017" s="3" t="s">
        <v>2570</v>
      </c>
      <c r="J1017" s="3" t="s">
        <v>2570</v>
      </c>
      <c r="K1017" s="3" t="s">
        <v>37</v>
      </c>
      <c r="L1017" s="3" t="s">
        <v>5296</v>
      </c>
      <c r="M1017" s="3" t="s">
        <v>61</v>
      </c>
      <c r="N1017" s="3" t="s">
        <v>285</v>
      </c>
      <c r="O1017" s="3" t="s">
        <v>72</v>
      </c>
      <c r="P1017" s="3" t="s">
        <v>248</v>
      </c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>
        <v>25500</v>
      </c>
      <c r="AB1017" s="3">
        <v>3000</v>
      </c>
      <c r="AC1017" s="4">
        <v>43971</v>
      </c>
      <c r="AD1017" s="3" t="s">
        <v>42</v>
      </c>
      <c r="AE1017" s="3" t="s">
        <v>5297</v>
      </c>
      <c r="AF1017" s="3">
        <v>720</v>
      </c>
    </row>
    <row r="1018" spans="1:32" ht="41.95" x14ac:dyDescent="0.3">
      <c r="A1018" s="5">
        <v>1012</v>
      </c>
      <c r="B1018" s="5" t="str">
        <f>"201800024201"</f>
        <v>201800024201</v>
      </c>
      <c r="C1018" s="5" t="str">
        <f>"83046"</f>
        <v>83046</v>
      </c>
      <c r="D1018" s="5" t="s">
        <v>5298</v>
      </c>
      <c r="E1018" s="5">
        <v>10227507531</v>
      </c>
      <c r="F1018" s="5" t="s">
        <v>5299</v>
      </c>
      <c r="G1018" s="5" t="s">
        <v>5300</v>
      </c>
      <c r="H1018" s="5" t="s">
        <v>125</v>
      </c>
      <c r="I1018" s="5" t="s">
        <v>5301</v>
      </c>
      <c r="J1018" s="5" t="s">
        <v>5302</v>
      </c>
      <c r="K1018" s="5" t="s">
        <v>37</v>
      </c>
      <c r="L1018" s="5" t="s">
        <v>5303</v>
      </c>
      <c r="M1018" s="5" t="s">
        <v>1474</v>
      </c>
      <c r="N1018" s="5" t="s">
        <v>5304</v>
      </c>
      <c r="O1018" s="5" t="s">
        <v>94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>
        <v>11000</v>
      </c>
      <c r="AB1018" s="5">
        <v>5000</v>
      </c>
      <c r="AC1018" s="6">
        <v>43145</v>
      </c>
      <c r="AD1018" s="5" t="s">
        <v>42</v>
      </c>
      <c r="AE1018" s="5" t="s">
        <v>5299</v>
      </c>
      <c r="AF1018" s="5">
        <v>0</v>
      </c>
    </row>
    <row r="1019" spans="1:32" ht="27.95" x14ac:dyDescent="0.3">
      <c r="A1019" s="3">
        <v>1013</v>
      </c>
      <c r="B1019" s="3" t="str">
        <f>"201400127627"</f>
        <v>201400127627</v>
      </c>
      <c r="C1019" s="3" t="str">
        <f>"19930"</f>
        <v>19930</v>
      </c>
      <c r="D1019" s="3" t="s">
        <v>5305</v>
      </c>
      <c r="E1019" s="3">
        <v>20554143432</v>
      </c>
      <c r="F1019" s="3" t="s">
        <v>5306</v>
      </c>
      <c r="G1019" s="3" t="s">
        <v>5307</v>
      </c>
      <c r="H1019" s="3" t="s">
        <v>58</v>
      </c>
      <c r="I1019" s="3" t="s">
        <v>1108</v>
      </c>
      <c r="J1019" s="3" t="s">
        <v>1850</v>
      </c>
      <c r="K1019" s="3" t="s">
        <v>37</v>
      </c>
      <c r="L1019" s="3" t="s">
        <v>2368</v>
      </c>
      <c r="M1019" s="3" t="s">
        <v>5308</v>
      </c>
      <c r="N1019" s="3" t="s">
        <v>172</v>
      </c>
      <c r="O1019" s="3" t="s">
        <v>78</v>
      </c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>
        <v>20000</v>
      </c>
      <c r="AB1019" s="3">
        <v>3200</v>
      </c>
      <c r="AC1019" s="4">
        <v>41912</v>
      </c>
      <c r="AD1019" s="3" t="s">
        <v>42</v>
      </c>
      <c r="AE1019" s="3" t="s">
        <v>5309</v>
      </c>
      <c r="AF1019" s="3">
        <v>0</v>
      </c>
    </row>
    <row r="1020" spans="1:32" x14ac:dyDescent="0.3">
      <c r="A1020" s="5">
        <v>1014</v>
      </c>
      <c r="B1020" s="5" t="str">
        <f>"202000147644"</f>
        <v>202000147644</v>
      </c>
      <c r="C1020" s="5" t="str">
        <f>"14845"</f>
        <v>14845</v>
      </c>
      <c r="D1020" s="5" t="s">
        <v>5310</v>
      </c>
      <c r="E1020" s="5">
        <v>20127765279</v>
      </c>
      <c r="F1020" s="5" t="s">
        <v>1115</v>
      </c>
      <c r="G1020" s="5" t="s">
        <v>5311</v>
      </c>
      <c r="H1020" s="5" t="s">
        <v>656</v>
      </c>
      <c r="I1020" s="5" t="s">
        <v>656</v>
      </c>
      <c r="J1020" s="5" t="s">
        <v>656</v>
      </c>
      <c r="K1020" s="5" t="s">
        <v>37</v>
      </c>
      <c r="L1020" s="5" t="s">
        <v>692</v>
      </c>
      <c r="M1020" s="5" t="s">
        <v>1313</v>
      </c>
      <c r="N1020" s="5" t="s">
        <v>277</v>
      </c>
      <c r="O1020" s="5" t="s">
        <v>275</v>
      </c>
      <c r="P1020" s="5" t="s">
        <v>5312</v>
      </c>
      <c r="Q1020" s="5" t="s">
        <v>1220</v>
      </c>
      <c r="R1020" s="5" t="s">
        <v>103</v>
      </c>
      <c r="S1020" s="5"/>
      <c r="T1020" s="5"/>
      <c r="U1020" s="5"/>
      <c r="V1020" s="5"/>
      <c r="W1020" s="5"/>
      <c r="X1020" s="5"/>
      <c r="Y1020" s="5"/>
      <c r="Z1020" s="5"/>
      <c r="AA1020" s="5">
        <v>28000</v>
      </c>
      <c r="AB1020" s="5">
        <v>2500</v>
      </c>
      <c r="AC1020" s="6">
        <v>44124</v>
      </c>
      <c r="AD1020" s="5" t="s">
        <v>42</v>
      </c>
      <c r="AE1020" s="5" t="s">
        <v>279</v>
      </c>
      <c r="AF1020" s="5">
        <v>480</v>
      </c>
    </row>
    <row r="1021" spans="1:32" ht="27.95" x14ac:dyDescent="0.3">
      <c r="A1021" s="3">
        <v>1015</v>
      </c>
      <c r="B1021" s="3" t="str">
        <f>"202000055112"</f>
        <v>202000055112</v>
      </c>
      <c r="C1021" s="3" t="str">
        <f>"98304"</f>
        <v>98304</v>
      </c>
      <c r="D1021" s="3" t="s">
        <v>5313</v>
      </c>
      <c r="E1021" s="3">
        <v>20127765279</v>
      </c>
      <c r="F1021" s="3" t="s">
        <v>1115</v>
      </c>
      <c r="G1021" s="3" t="s">
        <v>5314</v>
      </c>
      <c r="H1021" s="3" t="s">
        <v>187</v>
      </c>
      <c r="I1021" s="3" t="s">
        <v>187</v>
      </c>
      <c r="J1021" s="3" t="s">
        <v>187</v>
      </c>
      <c r="K1021" s="3" t="s">
        <v>37</v>
      </c>
      <c r="L1021" s="3" t="s">
        <v>459</v>
      </c>
      <c r="M1021" s="3" t="s">
        <v>555</v>
      </c>
      <c r="N1021" s="3" t="s">
        <v>74</v>
      </c>
      <c r="O1021" s="3" t="s">
        <v>248</v>
      </c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>
        <v>9000</v>
      </c>
      <c r="AB1021" s="3">
        <v>3000</v>
      </c>
      <c r="AC1021" s="4">
        <v>43959</v>
      </c>
      <c r="AD1021" s="3" t="s">
        <v>42</v>
      </c>
      <c r="AE1021" s="3" t="s">
        <v>3154</v>
      </c>
      <c r="AF1021" s="3">
        <v>0</v>
      </c>
    </row>
    <row r="1022" spans="1:32" x14ac:dyDescent="0.3">
      <c r="A1022" s="5">
        <v>1016</v>
      </c>
      <c r="B1022" s="5" t="str">
        <f>"201700190270"</f>
        <v>201700190270</v>
      </c>
      <c r="C1022" s="5" t="str">
        <f>"7819"</f>
        <v>7819</v>
      </c>
      <c r="D1022" s="5" t="s">
        <v>5315</v>
      </c>
      <c r="E1022" s="5">
        <v>20519139651</v>
      </c>
      <c r="F1022" s="5" t="s">
        <v>5316</v>
      </c>
      <c r="G1022" s="5" t="s">
        <v>5317</v>
      </c>
      <c r="H1022" s="5" t="s">
        <v>58</v>
      </c>
      <c r="I1022" s="5" t="s">
        <v>373</v>
      </c>
      <c r="J1022" s="5" t="s">
        <v>3994</v>
      </c>
      <c r="K1022" s="5" t="s">
        <v>37</v>
      </c>
      <c r="L1022" s="5" t="s">
        <v>5318</v>
      </c>
      <c r="M1022" s="5" t="s">
        <v>5318</v>
      </c>
      <c r="N1022" s="5" t="s">
        <v>5319</v>
      </c>
      <c r="O1022" s="5" t="s">
        <v>5320</v>
      </c>
      <c r="P1022" s="5" t="s">
        <v>3089</v>
      </c>
      <c r="Q1022" s="5" t="s">
        <v>3089</v>
      </c>
      <c r="R1022" s="5" t="s">
        <v>154</v>
      </c>
      <c r="S1022" s="5"/>
      <c r="T1022" s="5"/>
      <c r="U1022" s="5"/>
      <c r="V1022" s="5"/>
      <c r="W1022" s="5"/>
      <c r="X1022" s="5"/>
      <c r="Y1022" s="5"/>
      <c r="Z1022" s="5"/>
      <c r="AA1022" s="5">
        <v>25573</v>
      </c>
      <c r="AB1022" s="5">
        <v>6000</v>
      </c>
      <c r="AC1022" s="6">
        <v>43049</v>
      </c>
      <c r="AD1022" s="5" t="s">
        <v>42</v>
      </c>
      <c r="AE1022" s="5" t="s">
        <v>3430</v>
      </c>
      <c r="AF1022" s="5">
        <v>0</v>
      </c>
    </row>
    <row r="1023" spans="1:32" ht="27.95" x14ac:dyDescent="0.3">
      <c r="A1023" s="3">
        <v>1017</v>
      </c>
      <c r="B1023" s="3" t="str">
        <f>"201700219533"</f>
        <v>201700219533</v>
      </c>
      <c r="C1023" s="3" t="str">
        <f>"18533"</f>
        <v>18533</v>
      </c>
      <c r="D1023" s="3" t="s">
        <v>5321</v>
      </c>
      <c r="E1023" s="3">
        <v>10067409367</v>
      </c>
      <c r="F1023" s="3" t="s">
        <v>5322</v>
      </c>
      <c r="G1023" s="3" t="s">
        <v>5323</v>
      </c>
      <c r="H1023" s="3" t="s">
        <v>58</v>
      </c>
      <c r="I1023" s="3" t="s">
        <v>58</v>
      </c>
      <c r="J1023" s="3" t="s">
        <v>626</v>
      </c>
      <c r="K1023" s="3" t="s">
        <v>37</v>
      </c>
      <c r="L1023" s="3" t="s">
        <v>110</v>
      </c>
      <c r="M1023" s="3" t="s">
        <v>4915</v>
      </c>
      <c r="N1023" s="3" t="s">
        <v>479</v>
      </c>
      <c r="O1023" s="3" t="s">
        <v>413</v>
      </c>
      <c r="P1023" s="3" t="s">
        <v>78</v>
      </c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>
        <v>16800</v>
      </c>
      <c r="AB1023" s="3">
        <v>3200</v>
      </c>
      <c r="AC1023" s="4">
        <v>43096</v>
      </c>
      <c r="AD1023" s="3" t="s">
        <v>42</v>
      </c>
      <c r="AE1023" s="3" t="s">
        <v>5322</v>
      </c>
      <c r="AF1023" s="3">
        <v>120</v>
      </c>
    </row>
    <row r="1024" spans="1:32" ht="27.95" x14ac:dyDescent="0.3">
      <c r="A1024" s="5">
        <v>1018</v>
      </c>
      <c r="B1024" s="5" t="str">
        <f>"202000053858"</f>
        <v>202000053858</v>
      </c>
      <c r="C1024" s="5" t="str">
        <f>"8310"</f>
        <v>8310</v>
      </c>
      <c r="D1024" s="5" t="s">
        <v>5324</v>
      </c>
      <c r="E1024" s="5">
        <v>20601385547</v>
      </c>
      <c r="F1024" s="5" t="s">
        <v>5325</v>
      </c>
      <c r="G1024" s="5" t="s">
        <v>5326</v>
      </c>
      <c r="H1024" s="5" t="s">
        <v>999</v>
      </c>
      <c r="I1024" s="5" t="s">
        <v>999</v>
      </c>
      <c r="J1024" s="5" t="s">
        <v>999</v>
      </c>
      <c r="K1024" s="5" t="s">
        <v>37</v>
      </c>
      <c r="L1024" s="5" t="s">
        <v>166</v>
      </c>
      <c r="M1024" s="5" t="s">
        <v>5327</v>
      </c>
      <c r="N1024" s="5" t="s">
        <v>94</v>
      </c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>
        <v>20000</v>
      </c>
      <c r="AB1024" s="5">
        <v>5000</v>
      </c>
      <c r="AC1024" s="6">
        <v>43954</v>
      </c>
      <c r="AD1024" s="5" t="s">
        <v>42</v>
      </c>
      <c r="AE1024" s="5" t="s">
        <v>5328</v>
      </c>
      <c r="AF1024" s="5">
        <v>0</v>
      </c>
    </row>
    <row r="1025" spans="1:32" ht="27.95" x14ac:dyDescent="0.3">
      <c r="A1025" s="3">
        <v>1019</v>
      </c>
      <c r="B1025" s="3" t="str">
        <f>"201600164563"</f>
        <v>201600164563</v>
      </c>
      <c r="C1025" s="3" t="str">
        <f>"124335"</f>
        <v>124335</v>
      </c>
      <c r="D1025" s="3" t="s">
        <v>5329</v>
      </c>
      <c r="E1025" s="3">
        <v>20533824103</v>
      </c>
      <c r="F1025" s="3" t="s">
        <v>5330</v>
      </c>
      <c r="G1025" s="3" t="s">
        <v>5331</v>
      </c>
      <c r="H1025" s="3" t="s">
        <v>116</v>
      </c>
      <c r="I1025" s="3" t="s">
        <v>1168</v>
      </c>
      <c r="J1025" s="3" t="s">
        <v>1168</v>
      </c>
      <c r="K1025" s="3" t="s">
        <v>37</v>
      </c>
      <c r="L1025" s="3" t="s">
        <v>165</v>
      </c>
      <c r="M1025" s="3" t="s">
        <v>2295</v>
      </c>
      <c r="N1025" s="3" t="s">
        <v>94</v>
      </c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>
        <v>20000</v>
      </c>
      <c r="AB1025" s="3">
        <v>5000</v>
      </c>
      <c r="AC1025" s="4">
        <v>42690</v>
      </c>
      <c r="AD1025" s="3" t="s">
        <v>42</v>
      </c>
      <c r="AE1025" s="3" t="s">
        <v>5332</v>
      </c>
      <c r="AF1025" s="3">
        <v>720</v>
      </c>
    </row>
    <row r="1026" spans="1:32" ht="27.95" x14ac:dyDescent="0.3">
      <c r="A1026" s="5">
        <v>1020</v>
      </c>
      <c r="B1026" s="5" t="str">
        <f>"201900200462"</f>
        <v>201900200462</v>
      </c>
      <c r="C1026" s="5" t="str">
        <f>"21355"</f>
        <v>21355</v>
      </c>
      <c r="D1026" s="5" t="s">
        <v>5333</v>
      </c>
      <c r="E1026" s="5">
        <v>20519876753</v>
      </c>
      <c r="F1026" s="5" t="s">
        <v>5334</v>
      </c>
      <c r="G1026" s="5" t="s">
        <v>5335</v>
      </c>
      <c r="H1026" s="5" t="s">
        <v>656</v>
      </c>
      <c r="I1026" s="5" t="s">
        <v>656</v>
      </c>
      <c r="J1026" s="5" t="s">
        <v>656</v>
      </c>
      <c r="K1026" s="5" t="s">
        <v>37</v>
      </c>
      <c r="L1026" s="5" t="s">
        <v>110</v>
      </c>
      <c r="M1026" s="5" t="s">
        <v>51</v>
      </c>
      <c r="N1026" s="5" t="s">
        <v>368</v>
      </c>
      <c r="O1026" s="5" t="s">
        <v>1153</v>
      </c>
      <c r="P1026" s="5" t="s">
        <v>324</v>
      </c>
      <c r="Q1026" s="5" t="s">
        <v>94</v>
      </c>
      <c r="R1026" s="5"/>
      <c r="S1026" s="5"/>
      <c r="T1026" s="5"/>
      <c r="U1026" s="5"/>
      <c r="V1026" s="5"/>
      <c r="W1026" s="5"/>
      <c r="X1026" s="5"/>
      <c r="Y1026" s="5"/>
      <c r="Z1026" s="5"/>
      <c r="AA1026" s="5">
        <v>19000</v>
      </c>
      <c r="AB1026" s="5">
        <v>5000</v>
      </c>
      <c r="AC1026" s="6">
        <v>43802</v>
      </c>
      <c r="AD1026" s="5" t="s">
        <v>42</v>
      </c>
      <c r="AE1026" s="5" t="s">
        <v>5336</v>
      </c>
      <c r="AF1026" s="5">
        <v>0</v>
      </c>
    </row>
    <row r="1027" spans="1:32" ht="27.95" x14ac:dyDescent="0.3">
      <c r="A1027" s="3">
        <v>1021</v>
      </c>
      <c r="B1027" s="3" t="str">
        <f>"201700139707"</f>
        <v>201700139707</v>
      </c>
      <c r="C1027" s="3" t="str">
        <f>"38328"</f>
        <v>38328</v>
      </c>
      <c r="D1027" s="3" t="s">
        <v>5337</v>
      </c>
      <c r="E1027" s="3">
        <v>20601125251</v>
      </c>
      <c r="F1027" s="3" t="s">
        <v>5338</v>
      </c>
      <c r="G1027" s="3" t="s">
        <v>5339</v>
      </c>
      <c r="H1027" s="3" t="s">
        <v>47</v>
      </c>
      <c r="I1027" s="3" t="s">
        <v>159</v>
      </c>
      <c r="J1027" s="3" t="s">
        <v>1772</v>
      </c>
      <c r="K1027" s="3" t="s">
        <v>37</v>
      </c>
      <c r="L1027" s="3" t="s">
        <v>52</v>
      </c>
      <c r="M1027" s="3" t="s">
        <v>1039</v>
      </c>
      <c r="N1027" s="3" t="s">
        <v>61</v>
      </c>
      <c r="O1027" s="3" t="s">
        <v>60</v>
      </c>
      <c r="P1027" s="3" t="s">
        <v>494</v>
      </c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>
        <v>32000</v>
      </c>
      <c r="AB1027" s="3">
        <v>3400</v>
      </c>
      <c r="AC1027" s="4">
        <v>42979</v>
      </c>
      <c r="AD1027" s="3" t="s">
        <v>42</v>
      </c>
      <c r="AE1027" s="3" t="s">
        <v>5340</v>
      </c>
      <c r="AF1027" s="3">
        <v>0</v>
      </c>
    </row>
    <row r="1028" spans="1:32" ht="27.95" x14ac:dyDescent="0.3">
      <c r="A1028" s="5">
        <v>1022</v>
      </c>
      <c r="B1028" s="5" t="str">
        <f>"201700172048"</f>
        <v>201700172048</v>
      </c>
      <c r="C1028" s="5" t="str">
        <f>"35257"</f>
        <v>35257</v>
      </c>
      <c r="D1028" s="5" t="s">
        <v>5341</v>
      </c>
      <c r="E1028" s="5">
        <v>20486704820</v>
      </c>
      <c r="F1028" s="5" t="s">
        <v>5342</v>
      </c>
      <c r="G1028" s="5" t="s">
        <v>5343</v>
      </c>
      <c r="H1028" s="5" t="s">
        <v>108</v>
      </c>
      <c r="I1028" s="5" t="s">
        <v>144</v>
      </c>
      <c r="J1028" s="5" t="s">
        <v>2842</v>
      </c>
      <c r="K1028" s="5" t="s">
        <v>37</v>
      </c>
      <c r="L1028" s="5" t="s">
        <v>5344</v>
      </c>
      <c r="M1028" s="5" t="s">
        <v>72</v>
      </c>
      <c r="N1028" s="5" t="s">
        <v>5345</v>
      </c>
      <c r="O1028" s="5" t="s">
        <v>174</v>
      </c>
      <c r="P1028" s="5" t="s">
        <v>94</v>
      </c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>
        <v>18000</v>
      </c>
      <c r="AB1028" s="5">
        <v>5000</v>
      </c>
      <c r="AC1028" s="6">
        <v>43028</v>
      </c>
      <c r="AD1028" s="5" t="s">
        <v>42</v>
      </c>
      <c r="AE1028" s="5" t="s">
        <v>5346</v>
      </c>
      <c r="AF1028" s="5">
        <v>0</v>
      </c>
    </row>
    <row r="1029" spans="1:32" ht="27.95" x14ac:dyDescent="0.3">
      <c r="A1029" s="3">
        <v>1023</v>
      </c>
      <c r="B1029" s="3" t="str">
        <f>"202000077644"</f>
        <v>202000077644</v>
      </c>
      <c r="C1029" s="3" t="str">
        <f>"140825"</f>
        <v>140825</v>
      </c>
      <c r="D1029" s="3" t="s">
        <v>5347</v>
      </c>
      <c r="E1029" s="3">
        <v>20603398123</v>
      </c>
      <c r="F1029" s="3" t="s">
        <v>5348</v>
      </c>
      <c r="G1029" s="3" t="s">
        <v>5349</v>
      </c>
      <c r="H1029" s="3" t="s">
        <v>125</v>
      </c>
      <c r="I1029" s="3" t="s">
        <v>1176</v>
      </c>
      <c r="J1029" s="3" t="s">
        <v>1177</v>
      </c>
      <c r="K1029" s="3" t="s">
        <v>37</v>
      </c>
      <c r="L1029" s="3" t="s">
        <v>5350</v>
      </c>
      <c r="M1029" s="3" t="s">
        <v>94</v>
      </c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>
        <v>10000</v>
      </c>
      <c r="AB1029" s="3">
        <v>5000</v>
      </c>
      <c r="AC1029" s="4">
        <v>44021</v>
      </c>
      <c r="AD1029" s="3" t="s">
        <v>42</v>
      </c>
      <c r="AE1029" s="3" t="s">
        <v>5351</v>
      </c>
      <c r="AF1029" s="3">
        <v>720</v>
      </c>
    </row>
    <row r="1030" spans="1:32" ht="27.95" x14ac:dyDescent="0.3">
      <c r="A1030" s="5">
        <v>1024</v>
      </c>
      <c r="B1030" s="5" t="str">
        <f>"201800185466"</f>
        <v>201800185466</v>
      </c>
      <c r="C1030" s="5" t="str">
        <f>"16785"</f>
        <v>16785</v>
      </c>
      <c r="D1030" s="5" t="s">
        <v>5352</v>
      </c>
      <c r="E1030" s="5">
        <v>20129383659</v>
      </c>
      <c r="F1030" s="5" t="s">
        <v>5353</v>
      </c>
      <c r="G1030" s="5" t="s">
        <v>5354</v>
      </c>
      <c r="H1030" s="5" t="s">
        <v>450</v>
      </c>
      <c r="I1030" s="5" t="s">
        <v>5355</v>
      </c>
      <c r="J1030" s="5" t="s">
        <v>5356</v>
      </c>
      <c r="K1030" s="5" t="s">
        <v>37</v>
      </c>
      <c r="L1030" s="5" t="s">
        <v>166</v>
      </c>
      <c r="M1030" s="5" t="s">
        <v>5357</v>
      </c>
      <c r="N1030" s="5" t="s">
        <v>94</v>
      </c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>
        <v>21000</v>
      </c>
      <c r="AB1030" s="5">
        <v>5000</v>
      </c>
      <c r="AC1030" s="6">
        <v>43411</v>
      </c>
      <c r="AD1030" s="5" t="s">
        <v>42</v>
      </c>
      <c r="AE1030" s="5" t="s">
        <v>5358</v>
      </c>
      <c r="AF1030" s="5">
        <v>240</v>
      </c>
    </row>
    <row r="1031" spans="1:32" ht="27.95" x14ac:dyDescent="0.3">
      <c r="A1031" s="3">
        <v>1025</v>
      </c>
      <c r="B1031" s="3" t="str">
        <f>"201900072083"</f>
        <v>201900072083</v>
      </c>
      <c r="C1031" s="3" t="str">
        <f>"19991"</f>
        <v>19991</v>
      </c>
      <c r="D1031" s="3" t="s">
        <v>5359</v>
      </c>
      <c r="E1031" s="3">
        <v>20342943480</v>
      </c>
      <c r="F1031" s="3" t="s">
        <v>5360</v>
      </c>
      <c r="G1031" s="3" t="s">
        <v>5361</v>
      </c>
      <c r="H1031" s="3" t="s">
        <v>58</v>
      </c>
      <c r="I1031" s="3" t="s">
        <v>58</v>
      </c>
      <c r="J1031" s="3" t="s">
        <v>1267</v>
      </c>
      <c r="K1031" s="3" t="s">
        <v>37</v>
      </c>
      <c r="L1031" s="3" t="s">
        <v>862</v>
      </c>
      <c r="M1031" s="3" t="s">
        <v>4116</v>
      </c>
      <c r="N1031" s="3" t="s">
        <v>5362</v>
      </c>
      <c r="O1031" s="3" t="s">
        <v>94</v>
      </c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>
        <v>19800</v>
      </c>
      <c r="AB1031" s="3">
        <v>5000</v>
      </c>
      <c r="AC1031" s="4">
        <v>43615</v>
      </c>
      <c r="AD1031" s="3" t="s">
        <v>42</v>
      </c>
      <c r="AE1031" s="3" t="s">
        <v>5363</v>
      </c>
      <c r="AF1031" s="3">
        <v>240</v>
      </c>
    </row>
    <row r="1032" spans="1:32" ht="27.95" x14ac:dyDescent="0.3">
      <c r="A1032" s="5">
        <v>1026</v>
      </c>
      <c r="B1032" s="5" t="str">
        <f>"201900142803"</f>
        <v>201900142803</v>
      </c>
      <c r="C1032" s="5" t="str">
        <f>"140345"</f>
        <v>140345</v>
      </c>
      <c r="D1032" s="5" t="s">
        <v>5364</v>
      </c>
      <c r="E1032" s="5">
        <v>20602978274</v>
      </c>
      <c r="F1032" s="5" t="s">
        <v>5365</v>
      </c>
      <c r="G1032" s="5" t="s">
        <v>5366</v>
      </c>
      <c r="H1032" s="5" t="s">
        <v>89</v>
      </c>
      <c r="I1032" s="5" t="s">
        <v>89</v>
      </c>
      <c r="J1032" s="5" t="s">
        <v>5367</v>
      </c>
      <c r="K1032" s="5" t="s">
        <v>37</v>
      </c>
      <c r="L1032" s="5" t="s">
        <v>72</v>
      </c>
      <c r="M1032" s="5" t="s">
        <v>174</v>
      </c>
      <c r="N1032" s="5" t="s">
        <v>174</v>
      </c>
      <c r="O1032" s="5" t="s">
        <v>1111</v>
      </c>
      <c r="P1032" s="5" t="s">
        <v>1153</v>
      </c>
      <c r="Q1032" s="5" t="s">
        <v>1153</v>
      </c>
      <c r="R1032" s="5" t="s">
        <v>72</v>
      </c>
      <c r="S1032" s="5" t="s">
        <v>72</v>
      </c>
      <c r="T1032" s="5" t="s">
        <v>94</v>
      </c>
      <c r="U1032" s="5"/>
      <c r="V1032" s="5"/>
      <c r="W1032" s="5"/>
      <c r="X1032" s="5"/>
      <c r="Y1032" s="5"/>
      <c r="Z1032" s="5"/>
      <c r="AA1032" s="5">
        <v>40000</v>
      </c>
      <c r="AB1032" s="5">
        <v>5000</v>
      </c>
      <c r="AC1032" s="6">
        <v>43714</v>
      </c>
      <c r="AD1032" s="5" t="s">
        <v>42</v>
      </c>
      <c r="AE1032" s="5" t="s">
        <v>5368</v>
      </c>
      <c r="AF1032" s="5">
        <v>0</v>
      </c>
    </row>
    <row r="1033" spans="1:32" ht="41.95" x14ac:dyDescent="0.3">
      <c r="A1033" s="3">
        <v>1027</v>
      </c>
      <c r="B1033" s="3" t="str">
        <f>"201600009802"</f>
        <v>201600009802</v>
      </c>
      <c r="C1033" s="3" t="str">
        <f>"61093"</f>
        <v>61093</v>
      </c>
      <c r="D1033" s="3" t="s">
        <v>5369</v>
      </c>
      <c r="E1033" s="3">
        <v>20486455854</v>
      </c>
      <c r="F1033" s="3" t="s">
        <v>5370</v>
      </c>
      <c r="G1033" s="3" t="s">
        <v>5371</v>
      </c>
      <c r="H1033" s="3" t="s">
        <v>108</v>
      </c>
      <c r="I1033" s="3" t="s">
        <v>647</v>
      </c>
      <c r="J1033" s="3" t="s">
        <v>5372</v>
      </c>
      <c r="K1033" s="3" t="s">
        <v>37</v>
      </c>
      <c r="L1033" s="3" t="s">
        <v>3353</v>
      </c>
      <c r="M1033" s="3" t="s">
        <v>5373</v>
      </c>
      <c r="N1033" s="3" t="s">
        <v>5374</v>
      </c>
      <c r="O1033" s="3" t="s">
        <v>5375</v>
      </c>
      <c r="P1033" s="3" t="s">
        <v>94</v>
      </c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>
        <v>20150</v>
      </c>
      <c r="AB1033" s="3">
        <v>5000</v>
      </c>
      <c r="AC1033" s="4">
        <v>42397</v>
      </c>
      <c r="AD1033" s="3" t="s">
        <v>42</v>
      </c>
      <c r="AE1033" s="3" t="s">
        <v>2210</v>
      </c>
      <c r="AF1033" s="3">
        <v>0</v>
      </c>
    </row>
    <row r="1034" spans="1:32" x14ac:dyDescent="0.3">
      <c r="A1034" s="5">
        <v>1028</v>
      </c>
      <c r="B1034" s="5" t="str">
        <f>"201600000565"</f>
        <v>201600000565</v>
      </c>
      <c r="C1034" s="5" t="str">
        <f>"7643"</f>
        <v>7643</v>
      </c>
      <c r="D1034" s="5" t="s">
        <v>5376</v>
      </c>
      <c r="E1034" s="5">
        <v>20558599813</v>
      </c>
      <c r="F1034" s="5" t="s">
        <v>5377</v>
      </c>
      <c r="G1034" s="5" t="s">
        <v>5378</v>
      </c>
      <c r="H1034" s="5" t="s">
        <v>89</v>
      </c>
      <c r="I1034" s="5" t="s">
        <v>89</v>
      </c>
      <c r="J1034" s="5" t="s">
        <v>1445</v>
      </c>
      <c r="K1034" s="5" t="s">
        <v>37</v>
      </c>
      <c r="L1034" s="5" t="s">
        <v>63</v>
      </c>
      <c r="M1034" s="5" t="s">
        <v>63</v>
      </c>
      <c r="N1034" s="5" t="s">
        <v>819</v>
      </c>
      <c r="O1034" s="5" t="s">
        <v>1844</v>
      </c>
      <c r="P1034" s="5" t="s">
        <v>1615</v>
      </c>
      <c r="Q1034" s="5" t="s">
        <v>1007</v>
      </c>
      <c r="R1034" s="5" t="s">
        <v>324</v>
      </c>
      <c r="S1034" s="5" t="s">
        <v>324</v>
      </c>
      <c r="T1034" s="5" t="s">
        <v>78</v>
      </c>
      <c r="U1034" s="5"/>
      <c r="V1034" s="5"/>
      <c r="W1034" s="5"/>
      <c r="X1034" s="5"/>
      <c r="Y1034" s="5"/>
      <c r="Z1034" s="5"/>
      <c r="AA1034" s="5">
        <v>36000</v>
      </c>
      <c r="AB1034" s="5">
        <v>3200</v>
      </c>
      <c r="AC1034" s="6">
        <v>42394</v>
      </c>
      <c r="AD1034" s="5" t="s">
        <v>42</v>
      </c>
      <c r="AE1034" s="5" t="s">
        <v>4508</v>
      </c>
      <c r="AF1034" s="5">
        <v>0</v>
      </c>
    </row>
    <row r="1035" spans="1:32" x14ac:dyDescent="0.3">
      <c r="A1035" s="3">
        <v>1029</v>
      </c>
      <c r="B1035" s="3" t="str">
        <f>"201800149445"</f>
        <v>201800149445</v>
      </c>
      <c r="C1035" s="3" t="str">
        <f>"7040"</f>
        <v>7040</v>
      </c>
      <c r="D1035" s="3" t="s">
        <v>5379</v>
      </c>
      <c r="E1035" s="3">
        <v>20503840121</v>
      </c>
      <c r="F1035" s="3" t="s">
        <v>393</v>
      </c>
      <c r="G1035" s="3" t="s">
        <v>5380</v>
      </c>
      <c r="H1035" s="3" t="s">
        <v>58</v>
      </c>
      <c r="I1035" s="3" t="s">
        <v>58</v>
      </c>
      <c r="J1035" s="3" t="s">
        <v>1058</v>
      </c>
      <c r="K1035" s="3" t="s">
        <v>37</v>
      </c>
      <c r="L1035" s="3" t="s">
        <v>63</v>
      </c>
      <c r="M1035" s="3" t="s">
        <v>63</v>
      </c>
      <c r="N1035" s="3" t="s">
        <v>162</v>
      </c>
      <c r="O1035" s="3" t="s">
        <v>161</v>
      </c>
      <c r="P1035" s="3" t="s">
        <v>5381</v>
      </c>
      <c r="Q1035" s="3" t="s">
        <v>775</v>
      </c>
      <c r="R1035" s="3" t="s">
        <v>5382</v>
      </c>
      <c r="S1035" s="3"/>
      <c r="T1035" s="3"/>
      <c r="U1035" s="3"/>
      <c r="V1035" s="3"/>
      <c r="W1035" s="3"/>
      <c r="X1035" s="3"/>
      <c r="Y1035" s="3"/>
      <c r="Z1035" s="3"/>
      <c r="AA1035" s="3">
        <v>36000</v>
      </c>
      <c r="AB1035" s="3">
        <v>3945</v>
      </c>
      <c r="AC1035" s="4">
        <v>43354</v>
      </c>
      <c r="AD1035" s="3" t="s">
        <v>42</v>
      </c>
      <c r="AE1035" s="3" t="s">
        <v>399</v>
      </c>
      <c r="AF1035" s="3">
        <v>0</v>
      </c>
    </row>
    <row r="1036" spans="1:32" ht="27.95" x14ac:dyDescent="0.3">
      <c r="A1036" s="5">
        <v>1030</v>
      </c>
      <c r="B1036" s="5" t="str">
        <f>"201500038042"</f>
        <v>201500038042</v>
      </c>
      <c r="C1036" s="5" t="str">
        <f>"105356"</f>
        <v>105356</v>
      </c>
      <c r="D1036" s="5" t="s">
        <v>5383</v>
      </c>
      <c r="E1036" s="5">
        <v>20378839646</v>
      </c>
      <c r="F1036" s="5" t="s">
        <v>5384</v>
      </c>
      <c r="G1036" s="5" t="s">
        <v>5385</v>
      </c>
      <c r="H1036" s="5" t="s">
        <v>329</v>
      </c>
      <c r="I1036" s="5" t="s">
        <v>329</v>
      </c>
      <c r="J1036" s="5" t="s">
        <v>1546</v>
      </c>
      <c r="K1036" s="5" t="s">
        <v>37</v>
      </c>
      <c r="L1036" s="5" t="s">
        <v>5386</v>
      </c>
      <c r="M1036" s="5" t="s">
        <v>5387</v>
      </c>
      <c r="N1036" s="5" t="s">
        <v>5388</v>
      </c>
      <c r="O1036" s="5" t="s">
        <v>78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>
        <v>6813</v>
      </c>
      <c r="AB1036" s="5">
        <v>3200</v>
      </c>
      <c r="AC1036" s="6">
        <v>42110</v>
      </c>
      <c r="AD1036" s="5" t="s">
        <v>42</v>
      </c>
      <c r="AE1036" s="5" t="s">
        <v>5389</v>
      </c>
      <c r="AF1036" s="5">
        <v>720</v>
      </c>
    </row>
    <row r="1037" spans="1:32" ht="27.95" x14ac:dyDescent="0.3">
      <c r="A1037" s="3">
        <v>1031</v>
      </c>
      <c r="B1037" s="3" t="str">
        <f>"201900091965"</f>
        <v>201900091965</v>
      </c>
      <c r="C1037" s="3" t="str">
        <f>"19928"</f>
        <v>19928</v>
      </c>
      <c r="D1037" s="3" t="s">
        <v>5390</v>
      </c>
      <c r="E1037" s="3">
        <v>20479745260</v>
      </c>
      <c r="F1037" s="3" t="s">
        <v>5391</v>
      </c>
      <c r="G1037" s="3" t="s">
        <v>5392</v>
      </c>
      <c r="H1037" s="3" t="s">
        <v>36</v>
      </c>
      <c r="I1037" s="3" t="s">
        <v>409</v>
      </c>
      <c r="J1037" s="3" t="s">
        <v>409</v>
      </c>
      <c r="K1037" s="3" t="s">
        <v>37</v>
      </c>
      <c r="L1037" s="3" t="s">
        <v>232</v>
      </c>
      <c r="M1037" s="3" t="s">
        <v>5201</v>
      </c>
      <c r="N1037" s="3" t="s">
        <v>166</v>
      </c>
      <c r="O1037" s="3" t="s">
        <v>743</v>
      </c>
      <c r="P1037" s="3" t="s">
        <v>94</v>
      </c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>
        <v>35000</v>
      </c>
      <c r="AB1037" s="3">
        <v>5000</v>
      </c>
      <c r="AC1037" s="4">
        <v>43636</v>
      </c>
      <c r="AD1037" s="3" t="s">
        <v>42</v>
      </c>
      <c r="AE1037" s="3" t="s">
        <v>5393</v>
      </c>
      <c r="AF1037" s="3">
        <v>0</v>
      </c>
    </row>
    <row r="1038" spans="1:32" ht="27.95" x14ac:dyDescent="0.3">
      <c r="A1038" s="5">
        <v>1032</v>
      </c>
      <c r="B1038" s="5" t="str">
        <f>"201900137205"</f>
        <v>201900137205</v>
      </c>
      <c r="C1038" s="5" t="str">
        <f>"19840"</f>
        <v>19840</v>
      </c>
      <c r="D1038" s="5" t="s">
        <v>5394</v>
      </c>
      <c r="E1038" s="5">
        <v>20360945325</v>
      </c>
      <c r="F1038" s="5" t="s">
        <v>5395</v>
      </c>
      <c r="G1038" s="5" t="s">
        <v>5396</v>
      </c>
      <c r="H1038" s="5" t="s">
        <v>116</v>
      </c>
      <c r="I1038" s="5" t="s">
        <v>339</v>
      </c>
      <c r="J1038" s="5" t="s">
        <v>340</v>
      </c>
      <c r="K1038" s="5" t="s">
        <v>37</v>
      </c>
      <c r="L1038" s="5" t="s">
        <v>51</v>
      </c>
      <c r="M1038" s="5" t="s">
        <v>847</v>
      </c>
      <c r="N1038" s="5" t="s">
        <v>166</v>
      </c>
      <c r="O1038" s="5" t="s">
        <v>102</v>
      </c>
      <c r="P1038" s="5" t="s">
        <v>94</v>
      </c>
      <c r="Q1038" s="5" t="s">
        <v>94</v>
      </c>
      <c r="R1038" s="5"/>
      <c r="S1038" s="5"/>
      <c r="T1038" s="5"/>
      <c r="U1038" s="5"/>
      <c r="V1038" s="5"/>
      <c r="W1038" s="5"/>
      <c r="X1038" s="5"/>
      <c r="Y1038" s="5"/>
      <c r="Z1038" s="5"/>
      <c r="AA1038" s="5">
        <v>26000</v>
      </c>
      <c r="AB1038" s="5">
        <v>10000</v>
      </c>
      <c r="AC1038" s="6">
        <v>43705</v>
      </c>
      <c r="AD1038" s="5" t="s">
        <v>42</v>
      </c>
      <c r="AE1038" s="5" t="s">
        <v>5397</v>
      </c>
      <c r="AF1038" s="5">
        <v>0</v>
      </c>
    </row>
    <row r="1039" spans="1:32" x14ac:dyDescent="0.3">
      <c r="A1039" s="3">
        <v>1033</v>
      </c>
      <c r="B1039" s="3" t="str">
        <f>"201900124100"</f>
        <v>201900124100</v>
      </c>
      <c r="C1039" s="3" t="str">
        <f>"7506"</f>
        <v>7506</v>
      </c>
      <c r="D1039" s="3" t="s">
        <v>5398</v>
      </c>
      <c r="E1039" s="3">
        <v>20481461635</v>
      </c>
      <c r="F1039" s="3" t="s">
        <v>5399</v>
      </c>
      <c r="G1039" s="3" t="s">
        <v>5400</v>
      </c>
      <c r="H1039" s="3" t="s">
        <v>219</v>
      </c>
      <c r="I1039" s="3" t="s">
        <v>220</v>
      </c>
      <c r="J1039" s="3" t="s">
        <v>220</v>
      </c>
      <c r="K1039" s="3" t="s">
        <v>37</v>
      </c>
      <c r="L1039" s="3" t="s">
        <v>1331</v>
      </c>
      <c r="M1039" s="3" t="s">
        <v>5401</v>
      </c>
      <c r="N1039" s="3" t="s">
        <v>5402</v>
      </c>
      <c r="O1039" s="3" t="s">
        <v>5403</v>
      </c>
      <c r="P1039" s="3" t="s">
        <v>5404</v>
      </c>
      <c r="Q1039" s="3" t="s">
        <v>5404</v>
      </c>
      <c r="R1039" s="3" t="s">
        <v>2282</v>
      </c>
      <c r="S1039" s="3"/>
      <c r="T1039" s="3"/>
      <c r="U1039" s="3"/>
      <c r="V1039" s="3"/>
      <c r="W1039" s="3"/>
      <c r="X1039" s="3"/>
      <c r="Y1039" s="3"/>
      <c r="Z1039" s="3"/>
      <c r="AA1039" s="3">
        <v>38740</v>
      </c>
      <c r="AB1039" s="3">
        <v>8000</v>
      </c>
      <c r="AC1039" s="4">
        <v>43684</v>
      </c>
      <c r="AD1039" s="3" t="s">
        <v>42</v>
      </c>
      <c r="AE1039" s="3" t="s">
        <v>3338</v>
      </c>
      <c r="AF1039" s="3">
        <v>0</v>
      </c>
    </row>
    <row r="1040" spans="1:32" x14ac:dyDescent="0.3">
      <c r="A1040" s="5">
        <v>1034</v>
      </c>
      <c r="B1040" s="5" t="str">
        <f>"201700019537"</f>
        <v>201700019537</v>
      </c>
      <c r="C1040" s="5" t="str">
        <f>"39877"</f>
        <v>39877</v>
      </c>
      <c r="D1040" s="5" t="s">
        <v>5405</v>
      </c>
      <c r="E1040" s="5">
        <v>20601688779</v>
      </c>
      <c r="F1040" s="5" t="s">
        <v>5406</v>
      </c>
      <c r="G1040" s="5" t="s">
        <v>5407</v>
      </c>
      <c r="H1040" s="5" t="s">
        <v>47</v>
      </c>
      <c r="I1040" s="5" t="s">
        <v>47</v>
      </c>
      <c r="J1040" s="5" t="s">
        <v>2074</v>
      </c>
      <c r="K1040" s="5" t="s">
        <v>37</v>
      </c>
      <c r="L1040" s="5" t="s">
        <v>172</v>
      </c>
      <c r="M1040" s="5" t="s">
        <v>172</v>
      </c>
      <c r="N1040" s="5" t="s">
        <v>285</v>
      </c>
      <c r="O1040" s="5" t="s">
        <v>174</v>
      </c>
      <c r="P1040" s="5" t="s">
        <v>5408</v>
      </c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>
        <v>16800</v>
      </c>
      <c r="AB1040" s="5">
        <v>2000</v>
      </c>
      <c r="AC1040" s="6">
        <v>42774</v>
      </c>
      <c r="AD1040" s="5" t="s">
        <v>42</v>
      </c>
      <c r="AE1040" s="5" t="s">
        <v>3215</v>
      </c>
      <c r="AF1040" s="5">
        <v>300</v>
      </c>
    </row>
    <row r="1041" spans="1:32" ht="55.9" x14ac:dyDescent="0.3">
      <c r="A1041" s="3">
        <v>1035</v>
      </c>
      <c r="B1041" s="3" t="str">
        <f>"202000064462"</f>
        <v>202000064462</v>
      </c>
      <c r="C1041" s="3" t="str">
        <f>"123181"</f>
        <v>123181</v>
      </c>
      <c r="D1041" s="3" t="s">
        <v>5409</v>
      </c>
      <c r="E1041" s="3">
        <v>20354559901</v>
      </c>
      <c r="F1041" s="3" t="s">
        <v>5410</v>
      </c>
      <c r="G1041" s="3" t="s">
        <v>5411</v>
      </c>
      <c r="H1041" s="3" t="s">
        <v>219</v>
      </c>
      <c r="I1041" s="3" t="s">
        <v>220</v>
      </c>
      <c r="J1041" s="3" t="s">
        <v>302</v>
      </c>
      <c r="K1041" s="3" t="s">
        <v>37</v>
      </c>
      <c r="L1041" s="3" t="s">
        <v>5412</v>
      </c>
      <c r="M1041" s="3" t="s">
        <v>462</v>
      </c>
      <c r="N1041" s="3" t="s">
        <v>5413</v>
      </c>
      <c r="O1041" s="3" t="s">
        <v>94</v>
      </c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>
        <v>4400</v>
      </c>
      <c r="AB1041" s="3">
        <v>5000</v>
      </c>
      <c r="AC1041" s="4">
        <v>43997</v>
      </c>
      <c r="AD1041" s="3" t="s">
        <v>42</v>
      </c>
      <c r="AE1041" s="3" t="s">
        <v>5414</v>
      </c>
      <c r="AF1041" s="3">
        <v>720</v>
      </c>
    </row>
    <row r="1042" spans="1:32" ht="27.95" x14ac:dyDescent="0.3">
      <c r="A1042" s="5">
        <v>1036</v>
      </c>
      <c r="B1042" s="5" t="str">
        <f>"201700199575"</f>
        <v>201700199575</v>
      </c>
      <c r="C1042" s="5" t="str">
        <f>"8509"</f>
        <v>8509</v>
      </c>
      <c r="D1042" s="5" t="s">
        <v>5415</v>
      </c>
      <c r="E1042" s="5">
        <v>20224133333</v>
      </c>
      <c r="F1042" s="5" t="s">
        <v>5416</v>
      </c>
      <c r="G1042" s="5" t="s">
        <v>5417</v>
      </c>
      <c r="H1042" s="5" t="s">
        <v>58</v>
      </c>
      <c r="I1042" s="5" t="s">
        <v>1108</v>
      </c>
      <c r="J1042" s="5" t="s">
        <v>1850</v>
      </c>
      <c r="K1042" s="5" t="s">
        <v>37</v>
      </c>
      <c r="L1042" s="5" t="s">
        <v>380</v>
      </c>
      <c r="M1042" s="5" t="s">
        <v>61</v>
      </c>
      <c r="N1042" s="5" t="s">
        <v>72</v>
      </c>
      <c r="O1042" s="5" t="s">
        <v>72</v>
      </c>
      <c r="P1042" s="5" t="s">
        <v>94</v>
      </c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>
        <v>32000</v>
      </c>
      <c r="AB1042" s="5">
        <v>5000</v>
      </c>
      <c r="AC1042" s="6">
        <v>43067</v>
      </c>
      <c r="AD1042" s="5" t="s">
        <v>42</v>
      </c>
      <c r="AE1042" s="5" t="s">
        <v>5418</v>
      </c>
      <c r="AF1042" s="5">
        <v>0</v>
      </c>
    </row>
    <row r="1043" spans="1:32" ht="27.95" x14ac:dyDescent="0.3">
      <c r="A1043" s="3">
        <v>1037</v>
      </c>
      <c r="B1043" s="3" t="str">
        <f>"201500076012"</f>
        <v>201500076012</v>
      </c>
      <c r="C1043" s="3" t="str">
        <f>"21482"</f>
        <v>21482</v>
      </c>
      <c r="D1043" s="3" t="s">
        <v>5419</v>
      </c>
      <c r="E1043" s="3">
        <v>20387477463</v>
      </c>
      <c r="F1043" s="3" t="s">
        <v>5420</v>
      </c>
      <c r="G1043" s="3" t="s">
        <v>5421</v>
      </c>
      <c r="H1043" s="3" t="s">
        <v>58</v>
      </c>
      <c r="I1043" s="3" t="s">
        <v>58</v>
      </c>
      <c r="J1043" s="3" t="s">
        <v>545</v>
      </c>
      <c r="K1043" s="3" t="s">
        <v>37</v>
      </c>
      <c r="L1043" s="3" t="s">
        <v>5422</v>
      </c>
      <c r="M1043" s="3" t="s">
        <v>1784</v>
      </c>
      <c r="N1043" s="3" t="s">
        <v>78</v>
      </c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>
        <v>16000</v>
      </c>
      <c r="AB1043" s="3">
        <v>3200</v>
      </c>
      <c r="AC1043" s="4">
        <v>42171</v>
      </c>
      <c r="AD1043" s="3" t="s">
        <v>42</v>
      </c>
      <c r="AE1043" s="3" t="s">
        <v>1432</v>
      </c>
      <c r="AF1043" s="3">
        <v>480</v>
      </c>
    </row>
    <row r="1044" spans="1:32" ht="41.95" x14ac:dyDescent="0.3">
      <c r="A1044" s="5">
        <v>1038</v>
      </c>
      <c r="B1044" s="5" t="str">
        <f>"201200211043"</f>
        <v>201200211043</v>
      </c>
      <c r="C1044" s="5" t="str">
        <f>"93140"</f>
        <v>93140</v>
      </c>
      <c r="D1044" s="5" t="s">
        <v>5423</v>
      </c>
      <c r="E1044" s="5">
        <v>20517308367</v>
      </c>
      <c r="F1044" s="5" t="s">
        <v>3698</v>
      </c>
      <c r="G1044" s="5" t="s">
        <v>5424</v>
      </c>
      <c r="H1044" s="5" t="s">
        <v>58</v>
      </c>
      <c r="I1044" s="5" t="s">
        <v>58</v>
      </c>
      <c r="J1044" s="5" t="s">
        <v>1756</v>
      </c>
      <c r="K1044" s="5" t="s">
        <v>37</v>
      </c>
      <c r="L1044" s="5" t="s">
        <v>2438</v>
      </c>
      <c r="M1044" s="5" t="s">
        <v>63</v>
      </c>
      <c r="N1044" s="5" t="s">
        <v>103</v>
      </c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>
        <v>12000</v>
      </c>
      <c r="AB1044" s="5">
        <v>2500</v>
      </c>
      <c r="AC1044" s="6">
        <v>41240</v>
      </c>
      <c r="AD1044" s="5" t="s">
        <v>42</v>
      </c>
      <c r="AE1044" s="5" t="s">
        <v>5425</v>
      </c>
      <c r="AF1044" s="5">
        <v>0</v>
      </c>
    </row>
    <row r="1045" spans="1:32" ht="27.95" x14ac:dyDescent="0.3">
      <c r="A1045" s="3">
        <v>1039</v>
      </c>
      <c r="B1045" s="3" t="str">
        <f>"201800190350"</f>
        <v>201800190350</v>
      </c>
      <c r="C1045" s="3" t="str">
        <f>"17862"</f>
        <v>17862</v>
      </c>
      <c r="D1045" s="3" t="s">
        <v>5426</v>
      </c>
      <c r="E1045" s="3">
        <v>20295884909</v>
      </c>
      <c r="F1045" s="3" t="s">
        <v>746</v>
      </c>
      <c r="G1045" s="3" t="s">
        <v>5427</v>
      </c>
      <c r="H1045" s="3" t="s">
        <v>58</v>
      </c>
      <c r="I1045" s="3" t="s">
        <v>58</v>
      </c>
      <c r="J1045" s="3" t="s">
        <v>1267</v>
      </c>
      <c r="K1045" s="3" t="s">
        <v>37</v>
      </c>
      <c r="L1045" s="3" t="s">
        <v>263</v>
      </c>
      <c r="M1045" s="3" t="s">
        <v>493</v>
      </c>
      <c r="N1045" s="3" t="s">
        <v>63</v>
      </c>
      <c r="O1045" s="3" t="s">
        <v>4177</v>
      </c>
      <c r="P1045" s="3" t="s">
        <v>381</v>
      </c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>
        <v>19500</v>
      </c>
      <c r="AB1045" s="3">
        <v>2000</v>
      </c>
      <c r="AC1045" s="4">
        <v>43420</v>
      </c>
      <c r="AD1045" s="3" t="s">
        <v>42</v>
      </c>
      <c r="AE1045" s="3" t="s">
        <v>749</v>
      </c>
      <c r="AF1045" s="3">
        <v>0</v>
      </c>
    </row>
    <row r="1046" spans="1:32" ht="27.95" x14ac:dyDescent="0.3">
      <c r="A1046" s="5">
        <v>1040</v>
      </c>
      <c r="B1046" s="5" t="str">
        <f>"202000055625"</f>
        <v>202000055625</v>
      </c>
      <c r="C1046" s="5" t="str">
        <f>"44590"</f>
        <v>44590</v>
      </c>
      <c r="D1046" s="5" t="s">
        <v>5428</v>
      </c>
      <c r="E1046" s="5">
        <v>20600851854</v>
      </c>
      <c r="F1046" s="5" t="s">
        <v>5429</v>
      </c>
      <c r="G1046" s="5" t="s">
        <v>5430</v>
      </c>
      <c r="H1046" s="5" t="s">
        <v>187</v>
      </c>
      <c r="I1046" s="5" t="s">
        <v>187</v>
      </c>
      <c r="J1046" s="5" t="s">
        <v>5431</v>
      </c>
      <c r="K1046" s="5" t="s">
        <v>37</v>
      </c>
      <c r="L1046" s="5" t="s">
        <v>557</v>
      </c>
      <c r="M1046" s="5" t="s">
        <v>825</v>
      </c>
      <c r="N1046" s="5" t="s">
        <v>1008</v>
      </c>
      <c r="O1046" s="5" t="s">
        <v>322</v>
      </c>
      <c r="P1046" s="5" t="s">
        <v>74</v>
      </c>
      <c r="Q1046" s="5" t="s">
        <v>94</v>
      </c>
      <c r="R1046" s="5"/>
      <c r="S1046" s="5"/>
      <c r="T1046" s="5"/>
      <c r="U1046" s="5"/>
      <c r="V1046" s="5"/>
      <c r="W1046" s="5"/>
      <c r="X1046" s="5"/>
      <c r="Y1046" s="5"/>
      <c r="Z1046" s="5"/>
      <c r="AA1046" s="5">
        <v>14000</v>
      </c>
      <c r="AB1046" s="5">
        <v>5000</v>
      </c>
      <c r="AC1046" s="6">
        <v>43962</v>
      </c>
      <c r="AD1046" s="5" t="s">
        <v>42</v>
      </c>
      <c r="AE1046" s="5" t="s">
        <v>5432</v>
      </c>
      <c r="AF1046" s="5">
        <v>720</v>
      </c>
    </row>
    <row r="1047" spans="1:32" ht="27.95" x14ac:dyDescent="0.3">
      <c r="A1047" s="3">
        <v>1041</v>
      </c>
      <c r="B1047" s="3" t="str">
        <f>"201600001104"</f>
        <v>201600001104</v>
      </c>
      <c r="C1047" s="3" t="str">
        <f>"18592"</f>
        <v>18592</v>
      </c>
      <c r="D1047" s="3" t="s">
        <v>5433</v>
      </c>
      <c r="E1047" s="3">
        <v>20127765279</v>
      </c>
      <c r="F1047" s="3" t="s">
        <v>1115</v>
      </c>
      <c r="G1047" s="3" t="s">
        <v>5434</v>
      </c>
      <c r="H1047" s="3" t="s">
        <v>108</v>
      </c>
      <c r="I1047" s="3" t="s">
        <v>647</v>
      </c>
      <c r="J1047" s="3" t="s">
        <v>846</v>
      </c>
      <c r="K1047" s="3" t="s">
        <v>37</v>
      </c>
      <c r="L1047" s="3" t="s">
        <v>172</v>
      </c>
      <c r="M1047" s="3" t="s">
        <v>171</v>
      </c>
      <c r="N1047" s="3" t="s">
        <v>174</v>
      </c>
      <c r="O1047" s="3" t="s">
        <v>172</v>
      </c>
      <c r="P1047" s="3" t="s">
        <v>953</v>
      </c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>
        <v>16000</v>
      </c>
      <c r="AB1047" s="3">
        <v>6400</v>
      </c>
      <c r="AC1047" s="4">
        <v>42381</v>
      </c>
      <c r="AD1047" s="3" t="s">
        <v>42</v>
      </c>
      <c r="AE1047" s="3" t="s">
        <v>757</v>
      </c>
      <c r="AF1047" s="3">
        <v>0</v>
      </c>
    </row>
    <row r="1048" spans="1:32" ht="27.95" x14ac:dyDescent="0.3">
      <c r="A1048" s="5">
        <v>1042</v>
      </c>
      <c r="B1048" s="5" t="str">
        <f>"201900204221"</f>
        <v>201900204221</v>
      </c>
      <c r="C1048" s="5" t="str">
        <f>"16586"</f>
        <v>16586</v>
      </c>
      <c r="D1048" s="5" t="s">
        <v>5435</v>
      </c>
      <c r="E1048" s="5">
        <v>20127765279</v>
      </c>
      <c r="F1048" s="5" t="s">
        <v>1115</v>
      </c>
      <c r="G1048" s="5" t="s">
        <v>5436</v>
      </c>
      <c r="H1048" s="5" t="s">
        <v>58</v>
      </c>
      <c r="I1048" s="5" t="s">
        <v>58</v>
      </c>
      <c r="J1048" s="5" t="s">
        <v>1190</v>
      </c>
      <c r="K1048" s="5" t="s">
        <v>37</v>
      </c>
      <c r="L1048" s="5" t="s">
        <v>72</v>
      </c>
      <c r="M1048" s="5" t="s">
        <v>709</v>
      </c>
      <c r="N1048" s="5" t="s">
        <v>704</v>
      </c>
      <c r="O1048" s="5" t="s">
        <v>72</v>
      </c>
      <c r="P1048" s="5" t="s">
        <v>381</v>
      </c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>
        <v>32000</v>
      </c>
      <c r="AB1048" s="5">
        <v>2000</v>
      </c>
      <c r="AC1048" s="6">
        <v>43811</v>
      </c>
      <c r="AD1048" s="5" t="s">
        <v>42</v>
      </c>
      <c r="AE1048" s="5" t="s">
        <v>279</v>
      </c>
      <c r="AF1048" s="5">
        <v>0</v>
      </c>
    </row>
    <row r="1049" spans="1:32" ht="27.95" x14ac:dyDescent="0.3">
      <c r="A1049" s="3">
        <v>1043</v>
      </c>
      <c r="B1049" s="3" t="str">
        <f>"201800063049"</f>
        <v>201800063049</v>
      </c>
      <c r="C1049" s="3" t="str">
        <f>"135694"</f>
        <v>135694</v>
      </c>
      <c r="D1049" s="3" t="s">
        <v>5437</v>
      </c>
      <c r="E1049" s="3">
        <v>20481461635</v>
      </c>
      <c r="F1049" s="3" t="s">
        <v>5399</v>
      </c>
      <c r="G1049" s="3" t="s">
        <v>5438</v>
      </c>
      <c r="H1049" s="3" t="s">
        <v>219</v>
      </c>
      <c r="I1049" s="3" t="s">
        <v>220</v>
      </c>
      <c r="J1049" s="3" t="s">
        <v>1729</v>
      </c>
      <c r="K1049" s="3" t="s">
        <v>37</v>
      </c>
      <c r="L1049" s="3" t="s">
        <v>5439</v>
      </c>
      <c r="M1049" s="3" t="s">
        <v>5439</v>
      </c>
      <c r="N1049" s="3" t="s">
        <v>5439</v>
      </c>
      <c r="O1049" s="3" t="s">
        <v>5440</v>
      </c>
      <c r="P1049" s="3" t="s">
        <v>5441</v>
      </c>
      <c r="Q1049" s="3" t="s">
        <v>5442</v>
      </c>
      <c r="R1049" s="3" t="s">
        <v>78</v>
      </c>
      <c r="S1049" s="3"/>
      <c r="T1049" s="3"/>
      <c r="U1049" s="3"/>
      <c r="V1049" s="3"/>
      <c r="W1049" s="3"/>
      <c r="X1049" s="3"/>
      <c r="Y1049" s="3"/>
      <c r="Z1049" s="3"/>
      <c r="AA1049" s="3">
        <v>29500</v>
      </c>
      <c r="AB1049" s="3">
        <v>3200</v>
      </c>
      <c r="AC1049" s="4">
        <v>43222</v>
      </c>
      <c r="AD1049" s="3" t="s">
        <v>42</v>
      </c>
      <c r="AE1049" s="3" t="s">
        <v>3338</v>
      </c>
      <c r="AF1049" s="3">
        <v>0</v>
      </c>
    </row>
    <row r="1050" spans="1:32" ht="27.95" x14ac:dyDescent="0.3">
      <c r="A1050" s="5">
        <v>1044</v>
      </c>
      <c r="B1050" s="5" t="str">
        <f>"201900075466"</f>
        <v>201900075466</v>
      </c>
      <c r="C1050" s="5" t="str">
        <f>"7970"</f>
        <v>7970</v>
      </c>
      <c r="D1050" s="5" t="s">
        <v>5443</v>
      </c>
      <c r="E1050" s="5">
        <v>20127765279</v>
      </c>
      <c r="F1050" s="5" t="s">
        <v>1115</v>
      </c>
      <c r="G1050" s="5" t="s">
        <v>5444</v>
      </c>
      <c r="H1050" s="5" t="s">
        <v>36</v>
      </c>
      <c r="I1050" s="5" t="s">
        <v>409</v>
      </c>
      <c r="J1050" s="5" t="s">
        <v>409</v>
      </c>
      <c r="K1050" s="5" t="s">
        <v>37</v>
      </c>
      <c r="L1050" s="5" t="s">
        <v>5445</v>
      </c>
      <c r="M1050" s="5" t="s">
        <v>74</v>
      </c>
      <c r="N1050" s="5" t="s">
        <v>5446</v>
      </c>
      <c r="O1050" s="5" t="s">
        <v>398</v>
      </c>
      <c r="P1050" s="5" t="s">
        <v>120</v>
      </c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>
        <v>15200</v>
      </c>
      <c r="AB1050" s="5">
        <v>3500</v>
      </c>
      <c r="AC1050" s="6">
        <v>43622</v>
      </c>
      <c r="AD1050" s="5" t="s">
        <v>42</v>
      </c>
      <c r="AE1050" s="5" t="s">
        <v>279</v>
      </c>
      <c r="AF1050" s="5">
        <v>240</v>
      </c>
    </row>
    <row r="1051" spans="1:32" ht="27.95" x14ac:dyDescent="0.3">
      <c r="A1051" s="3">
        <v>1045</v>
      </c>
      <c r="B1051" s="3" t="str">
        <f>"201800159287"</f>
        <v>201800159287</v>
      </c>
      <c r="C1051" s="3" t="str">
        <f>"137117"</f>
        <v>137117</v>
      </c>
      <c r="D1051" s="3" t="s">
        <v>5447</v>
      </c>
      <c r="E1051" s="3">
        <v>20600516541</v>
      </c>
      <c r="F1051" s="3" t="s">
        <v>5448</v>
      </c>
      <c r="G1051" s="3" t="s">
        <v>5449</v>
      </c>
      <c r="H1051" s="3" t="s">
        <v>638</v>
      </c>
      <c r="I1051" s="3" t="s">
        <v>639</v>
      </c>
      <c r="J1051" s="3" t="s">
        <v>640</v>
      </c>
      <c r="K1051" s="3" t="s">
        <v>37</v>
      </c>
      <c r="L1051" s="3" t="s">
        <v>5450</v>
      </c>
      <c r="M1051" s="3" t="s">
        <v>593</v>
      </c>
      <c r="N1051" s="3" t="s">
        <v>593</v>
      </c>
      <c r="O1051" s="3" t="s">
        <v>593</v>
      </c>
      <c r="P1051" s="3" t="s">
        <v>1143</v>
      </c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>
        <v>20600</v>
      </c>
      <c r="AB1051" s="3">
        <v>3300</v>
      </c>
      <c r="AC1051" s="4">
        <v>43371</v>
      </c>
      <c r="AD1051" s="3" t="s">
        <v>42</v>
      </c>
      <c r="AE1051" s="3" t="s">
        <v>5451</v>
      </c>
      <c r="AF1051" s="3">
        <v>0</v>
      </c>
    </row>
    <row r="1052" spans="1:32" ht="27.95" x14ac:dyDescent="0.3">
      <c r="A1052" s="5">
        <v>1046</v>
      </c>
      <c r="B1052" s="5" t="str">
        <f>"201900074853"</f>
        <v>201900074853</v>
      </c>
      <c r="C1052" s="5" t="str">
        <f>"7304"</f>
        <v>7304</v>
      </c>
      <c r="D1052" s="5" t="s">
        <v>5452</v>
      </c>
      <c r="E1052" s="5">
        <v>20131301244</v>
      </c>
      <c r="F1052" s="5" t="s">
        <v>5453</v>
      </c>
      <c r="G1052" s="5" t="s">
        <v>5454</v>
      </c>
      <c r="H1052" s="5" t="s">
        <v>58</v>
      </c>
      <c r="I1052" s="5" t="s">
        <v>58</v>
      </c>
      <c r="J1052" s="5" t="s">
        <v>99</v>
      </c>
      <c r="K1052" s="5" t="s">
        <v>37</v>
      </c>
      <c r="L1052" s="5" t="s">
        <v>5455</v>
      </c>
      <c r="M1052" s="5" t="s">
        <v>102</v>
      </c>
      <c r="N1052" s="5" t="s">
        <v>5456</v>
      </c>
      <c r="O1052" s="5" t="s">
        <v>103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>
        <v>13200</v>
      </c>
      <c r="AB1052" s="5">
        <v>2500</v>
      </c>
      <c r="AC1052" s="6">
        <v>43601</v>
      </c>
      <c r="AD1052" s="5" t="s">
        <v>42</v>
      </c>
      <c r="AE1052" s="5" t="s">
        <v>5457</v>
      </c>
      <c r="AF1052" s="5">
        <v>0</v>
      </c>
    </row>
    <row r="1053" spans="1:32" ht="27.95" x14ac:dyDescent="0.3">
      <c r="A1053" s="3">
        <v>1047</v>
      </c>
      <c r="B1053" s="3" t="str">
        <f>"201900200648"</f>
        <v>201900200648</v>
      </c>
      <c r="C1053" s="3" t="str">
        <f>"144873"</f>
        <v>144873</v>
      </c>
      <c r="D1053" s="3" t="s">
        <v>5458</v>
      </c>
      <c r="E1053" s="3">
        <v>20603585675</v>
      </c>
      <c r="F1053" s="3" t="s">
        <v>5459</v>
      </c>
      <c r="G1053" s="3" t="s">
        <v>5460</v>
      </c>
      <c r="H1053" s="3" t="s">
        <v>219</v>
      </c>
      <c r="I1053" s="3" t="s">
        <v>2027</v>
      </c>
      <c r="J1053" s="3" t="s">
        <v>3843</v>
      </c>
      <c r="K1053" s="3" t="s">
        <v>37</v>
      </c>
      <c r="L1053" s="3" t="s">
        <v>72</v>
      </c>
      <c r="M1053" s="3" t="s">
        <v>51</v>
      </c>
      <c r="N1053" s="3" t="s">
        <v>459</v>
      </c>
      <c r="O1053" s="3" t="s">
        <v>5461</v>
      </c>
      <c r="P1053" s="3" t="s">
        <v>94</v>
      </c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>
        <v>21000</v>
      </c>
      <c r="AB1053" s="3">
        <v>5000</v>
      </c>
      <c r="AC1053" s="4">
        <v>43804</v>
      </c>
      <c r="AD1053" s="3" t="s">
        <v>42</v>
      </c>
      <c r="AE1053" s="3" t="s">
        <v>5462</v>
      </c>
      <c r="AF1053" s="3">
        <v>720</v>
      </c>
    </row>
    <row r="1054" spans="1:32" ht="27.95" x14ac:dyDescent="0.3">
      <c r="A1054" s="5">
        <v>1048</v>
      </c>
      <c r="B1054" s="5" t="str">
        <f>"201900211419"</f>
        <v>201900211419</v>
      </c>
      <c r="C1054" s="5" t="str">
        <f>"115456"</f>
        <v>115456</v>
      </c>
      <c r="D1054" s="5" t="s">
        <v>5463</v>
      </c>
      <c r="E1054" s="5">
        <v>20601414555</v>
      </c>
      <c r="F1054" s="5" t="s">
        <v>5464</v>
      </c>
      <c r="G1054" s="5" t="s">
        <v>5465</v>
      </c>
      <c r="H1054" s="5" t="s">
        <v>2073</v>
      </c>
      <c r="I1054" s="5" t="s">
        <v>2073</v>
      </c>
      <c r="J1054" s="5" t="s">
        <v>5466</v>
      </c>
      <c r="K1054" s="5" t="s">
        <v>37</v>
      </c>
      <c r="L1054" s="5" t="s">
        <v>5467</v>
      </c>
      <c r="M1054" s="5" t="s">
        <v>5467</v>
      </c>
      <c r="N1054" s="5" t="s">
        <v>5468</v>
      </c>
      <c r="O1054" s="5" t="s">
        <v>5469</v>
      </c>
      <c r="P1054" s="5" t="s">
        <v>94</v>
      </c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>
        <v>18600</v>
      </c>
      <c r="AB1054" s="5">
        <v>5000</v>
      </c>
      <c r="AC1054" s="6">
        <v>43823</v>
      </c>
      <c r="AD1054" s="5" t="s">
        <v>42</v>
      </c>
      <c r="AE1054" s="5" t="s">
        <v>5470</v>
      </c>
      <c r="AF1054" s="5">
        <v>0</v>
      </c>
    </row>
    <row r="1055" spans="1:32" ht="27.95" x14ac:dyDescent="0.3">
      <c r="A1055" s="3">
        <v>1049</v>
      </c>
      <c r="B1055" s="3" t="str">
        <f>"202000002238"</f>
        <v>202000002238</v>
      </c>
      <c r="C1055" s="3" t="str">
        <f>"7420"</f>
        <v>7420</v>
      </c>
      <c r="D1055" s="3" t="s">
        <v>5471</v>
      </c>
      <c r="E1055" s="3">
        <v>20605567186</v>
      </c>
      <c r="F1055" s="3" t="s">
        <v>5472</v>
      </c>
      <c r="G1055" s="3" t="s">
        <v>5473</v>
      </c>
      <c r="H1055" s="3" t="s">
        <v>125</v>
      </c>
      <c r="I1055" s="3" t="s">
        <v>125</v>
      </c>
      <c r="J1055" s="3" t="s">
        <v>1159</v>
      </c>
      <c r="K1055" s="3" t="s">
        <v>37</v>
      </c>
      <c r="L1055" s="3" t="s">
        <v>775</v>
      </c>
      <c r="M1055" s="3" t="s">
        <v>3353</v>
      </c>
      <c r="N1055" s="3" t="s">
        <v>63</v>
      </c>
      <c r="O1055" s="3" t="s">
        <v>512</v>
      </c>
      <c r="P1055" s="3" t="s">
        <v>5474</v>
      </c>
      <c r="Q1055" s="3" t="s">
        <v>479</v>
      </c>
      <c r="R1055" s="3" t="s">
        <v>154</v>
      </c>
      <c r="S1055" s="3"/>
      <c r="T1055" s="3"/>
      <c r="U1055" s="3"/>
      <c r="V1055" s="3"/>
      <c r="W1055" s="3"/>
      <c r="X1055" s="3"/>
      <c r="Y1055" s="3"/>
      <c r="Z1055" s="3"/>
      <c r="AA1055" s="3">
        <v>44600</v>
      </c>
      <c r="AB1055" s="3">
        <v>6000</v>
      </c>
      <c r="AC1055" s="4">
        <v>43843</v>
      </c>
      <c r="AD1055" s="3" t="s">
        <v>42</v>
      </c>
      <c r="AE1055" s="3" t="s">
        <v>5475</v>
      </c>
      <c r="AF1055" s="3">
        <v>0</v>
      </c>
    </row>
    <row r="1056" spans="1:32" ht="27.95" x14ac:dyDescent="0.3">
      <c r="A1056" s="5">
        <v>1050</v>
      </c>
      <c r="B1056" s="5" t="str">
        <f>"201900172900"</f>
        <v>201900172900</v>
      </c>
      <c r="C1056" s="5" t="str">
        <f>"44472"</f>
        <v>44472</v>
      </c>
      <c r="D1056" s="5" t="s">
        <v>5476</v>
      </c>
      <c r="E1056" s="5">
        <v>20543971864</v>
      </c>
      <c r="F1056" s="5" t="s">
        <v>5477</v>
      </c>
      <c r="G1056" s="5" t="s">
        <v>5478</v>
      </c>
      <c r="H1056" s="5" t="s">
        <v>58</v>
      </c>
      <c r="I1056" s="5" t="s">
        <v>58</v>
      </c>
      <c r="J1056" s="5" t="s">
        <v>1058</v>
      </c>
      <c r="K1056" s="5" t="s">
        <v>37</v>
      </c>
      <c r="L1056" s="5" t="s">
        <v>5479</v>
      </c>
      <c r="M1056" s="5" t="s">
        <v>5480</v>
      </c>
      <c r="N1056" s="5" t="s">
        <v>5481</v>
      </c>
      <c r="O1056" s="5" t="s">
        <v>5482</v>
      </c>
      <c r="P1056" s="5" t="s">
        <v>5483</v>
      </c>
      <c r="Q1056" s="5" t="s">
        <v>5483</v>
      </c>
      <c r="R1056" s="5"/>
      <c r="S1056" s="5"/>
      <c r="T1056" s="5"/>
      <c r="U1056" s="5"/>
      <c r="V1056" s="5"/>
      <c r="W1056" s="5"/>
      <c r="X1056" s="5"/>
      <c r="Y1056" s="5"/>
      <c r="Z1056" s="5"/>
      <c r="AA1056" s="5">
        <v>33593</v>
      </c>
      <c r="AB1056" s="5">
        <v>2000</v>
      </c>
      <c r="AC1056" s="6">
        <v>43764</v>
      </c>
      <c r="AD1056" s="5" t="s">
        <v>42</v>
      </c>
      <c r="AE1056" s="5" t="s">
        <v>5484</v>
      </c>
      <c r="AF1056" s="5">
        <v>720</v>
      </c>
    </row>
    <row r="1057" spans="1:32" ht="27.95" x14ac:dyDescent="0.3">
      <c r="A1057" s="3">
        <v>1051</v>
      </c>
      <c r="B1057" s="3" t="str">
        <f>"202000151195"</f>
        <v>202000151195</v>
      </c>
      <c r="C1057" s="3" t="str">
        <f>"42374"</f>
        <v>42374</v>
      </c>
      <c r="D1057" s="3" t="s">
        <v>5485</v>
      </c>
      <c r="E1057" s="3">
        <v>20601391849</v>
      </c>
      <c r="F1057" s="3" t="s">
        <v>5486</v>
      </c>
      <c r="G1057" s="3" t="s">
        <v>5487</v>
      </c>
      <c r="H1057" s="3" t="s">
        <v>47</v>
      </c>
      <c r="I1057" s="3" t="s">
        <v>159</v>
      </c>
      <c r="J1057" s="3" t="s">
        <v>3459</v>
      </c>
      <c r="K1057" s="3" t="s">
        <v>37</v>
      </c>
      <c r="L1057" s="3" t="s">
        <v>5488</v>
      </c>
      <c r="M1057" s="3" t="s">
        <v>5489</v>
      </c>
      <c r="N1057" s="3" t="s">
        <v>4177</v>
      </c>
      <c r="O1057" s="3" t="s">
        <v>2146</v>
      </c>
      <c r="P1057" s="3" t="s">
        <v>84</v>
      </c>
      <c r="Q1057" s="3" t="s">
        <v>3575</v>
      </c>
      <c r="R1057" s="3"/>
      <c r="S1057" s="3"/>
      <c r="T1057" s="3"/>
      <c r="U1057" s="3"/>
      <c r="V1057" s="3"/>
      <c r="W1057" s="3"/>
      <c r="X1057" s="3"/>
      <c r="Y1057" s="3"/>
      <c r="Z1057" s="3"/>
      <c r="AA1057" s="3">
        <v>15000</v>
      </c>
      <c r="AB1057" s="3">
        <v>4300</v>
      </c>
      <c r="AC1057" s="4">
        <v>44130</v>
      </c>
      <c r="AD1057" s="3" t="s">
        <v>42</v>
      </c>
      <c r="AE1057" s="3" t="s">
        <v>5490</v>
      </c>
      <c r="AF1057" s="3">
        <v>0</v>
      </c>
    </row>
    <row r="1058" spans="1:32" x14ac:dyDescent="0.3">
      <c r="A1058" s="5">
        <v>1052</v>
      </c>
      <c r="B1058" s="5" t="str">
        <f>"202000060254"</f>
        <v>202000060254</v>
      </c>
      <c r="C1058" s="5" t="str">
        <f>"9427"</f>
        <v>9427</v>
      </c>
      <c r="D1058" s="5" t="s">
        <v>5491</v>
      </c>
      <c r="E1058" s="5">
        <v>20600621654</v>
      </c>
      <c r="F1058" s="5" t="s">
        <v>5492</v>
      </c>
      <c r="G1058" s="5" t="s">
        <v>5493</v>
      </c>
      <c r="H1058" s="5" t="s">
        <v>134</v>
      </c>
      <c r="I1058" s="5" t="s">
        <v>134</v>
      </c>
      <c r="J1058" s="5" t="s">
        <v>134</v>
      </c>
      <c r="K1058" s="5" t="s">
        <v>37</v>
      </c>
      <c r="L1058" s="5" t="s">
        <v>743</v>
      </c>
      <c r="M1058" s="5" t="s">
        <v>50</v>
      </c>
      <c r="N1058" s="5" t="s">
        <v>72</v>
      </c>
      <c r="O1058" s="5" t="s">
        <v>61</v>
      </c>
      <c r="P1058" s="5" t="s">
        <v>94</v>
      </c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>
        <v>26000</v>
      </c>
      <c r="AB1058" s="5">
        <v>5000</v>
      </c>
      <c r="AC1058" s="6">
        <v>43983</v>
      </c>
      <c r="AD1058" s="5" t="s">
        <v>42</v>
      </c>
      <c r="AE1058" s="5" t="s">
        <v>5494</v>
      </c>
      <c r="AF1058" s="5">
        <v>720</v>
      </c>
    </row>
    <row r="1059" spans="1:32" ht="27.95" x14ac:dyDescent="0.3">
      <c r="A1059" s="3">
        <v>1053</v>
      </c>
      <c r="B1059" s="3" t="str">
        <f>"201700129297"</f>
        <v>201700129297</v>
      </c>
      <c r="C1059" s="3" t="str">
        <f>"129641"</f>
        <v>129641</v>
      </c>
      <c r="D1059" s="3" t="s">
        <v>5495</v>
      </c>
      <c r="E1059" s="3">
        <v>10092033584</v>
      </c>
      <c r="F1059" s="3" t="s">
        <v>5496</v>
      </c>
      <c r="G1059" s="3" t="s">
        <v>5497</v>
      </c>
      <c r="H1059" s="3" t="s">
        <v>58</v>
      </c>
      <c r="I1059" s="3" t="s">
        <v>58</v>
      </c>
      <c r="J1059" s="3" t="s">
        <v>99</v>
      </c>
      <c r="K1059" s="3" t="s">
        <v>37</v>
      </c>
      <c r="L1059" s="3" t="s">
        <v>63</v>
      </c>
      <c r="M1059" s="3" t="s">
        <v>63</v>
      </c>
      <c r="N1059" s="3" t="s">
        <v>5498</v>
      </c>
      <c r="O1059" s="3" t="s">
        <v>960</v>
      </c>
      <c r="P1059" s="3" t="s">
        <v>78</v>
      </c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>
        <v>24000</v>
      </c>
      <c r="AB1059" s="3">
        <v>3200</v>
      </c>
      <c r="AC1059" s="4">
        <v>42968</v>
      </c>
      <c r="AD1059" s="3" t="s">
        <v>42</v>
      </c>
      <c r="AE1059" s="3" t="s">
        <v>271</v>
      </c>
      <c r="AF1059" s="3">
        <v>0</v>
      </c>
    </row>
    <row r="1060" spans="1:32" ht="27.95" x14ac:dyDescent="0.3">
      <c r="A1060" s="5">
        <v>1054</v>
      </c>
      <c r="B1060" s="5" t="str">
        <f>"201900117440"</f>
        <v>201900117440</v>
      </c>
      <c r="C1060" s="5" t="str">
        <f>"34740"</f>
        <v>34740</v>
      </c>
      <c r="D1060" s="5" t="s">
        <v>5499</v>
      </c>
      <c r="E1060" s="5">
        <v>20601551510</v>
      </c>
      <c r="F1060" s="5" t="s">
        <v>5500</v>
      </c>
      <c r="G1060" s="5" t="s">
        <v>5501</v>
      </c>
      <c r="H1060" s="5" t="s">
        <v>436</v>
      </c>
      <c r="I1060" s="5" t="s">
        <v>437</v>
      </c>
      <c r="J1060" s="5" t="s">
        <v>437</v>
      </c>
      <c r="K1060" s="5" t="s">
        <v>37</v>
      </c>
      <c r="L1060" s="5" t="s">
        <v>63</v>
      </c>
      <c r="M1060" s="5" t="s">
        <v>63</v>
      </c>
      <c r="N1060" s="5" t="s">
        <v>5502</v>
      </c>
      <c r="O1060" s="5" t="s">
        <v>5503</v>
      </c>
      <c r="P1060" s="5" t="s">
        <v>78</v>
      </c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>
        <v>20500</v>
      </c>
      <c r="AB1060" s="5">
        <v>3200</v>
      </c>
      <c r="AC1060" s="6">
        <v>43683</v>
      </c>
      <c r="AD1060" s="5" t="s">
        <v>42</v>
      </c>
      <c r="AE1060" s="5" t="s">
        <v>5504</v>
      </c>
      <c r="AF1060" s="5">
        <v>240</v>
      </c>
    </row>
    <row r="1061" spans="1:32" ht="27.95" x14ac:dyDescent="0.3">
      <c r="A1061" s="3">
        <v>1055</v>
      </c>
      <c r="B1061" s="3" t="str">
        <f>"201600175111"</f>
        <v>201600175111</v>
      </c>
      <c r="C1061" s="3" t="str">
        <f>"99019"</f>
        <v>99019</v>
      </c>
      <c r="D1061" s="3" t="s">
        <v>5505</v>
      </c>
      <c r="E1061" s="3">
        <v>20408147523</v>
      </c>
      <c r="F1061" s="3" t="s">
        <v>4687</v>
      </c>
      <c r="G1061" s="3" t="s">
        <v>5506</v>
      </c>
      <c r="H1061" s="3" t="s">
        <v>58</v>
      </c>
      <c r="I1061" s="3" t="s">
        <v>554</v>
      </c>
      <c r="J1061" s="3" t="s">
        <v>554</v>
      </c>
      <c r="K1061" s="3" t="s">
        <v>37</v>
      </c>
      <c r="L1061" s="3" t="s">
        <v>387</v>
      </c>
      <c r="M1061" s="3" t="s">
        <v>63</v>
      </c>
      <c r="N1061" s="3" t="s">
        <v>396</v>
      </c>
      <c r="O1061" s="3" t="s">
        <v>51</v>
      </c>
      <c r="P1061" s="3" t="s">
        <v>555</v>
      </c>
      <c r="Q1061" s="3" t="s">
        <v>78</v>
      </c>
      <c r="R1061" s="3"/>
      <c r="S1061" s="3"/>
      <c r="T1061" s="3"/>
      <c r="U1061" s="3"/>
      <c r="V1061" s="3"/>
      <c r="W1061" s="3"/>
      <c r="X1061" s="3"/>
      <c r="Y1061" s="3"/>
      <c r="Z1061" s="3"/>
      <c r="AA1061" s="3">
        <v>28000</v>
      </c>
      <c r="AB1061" s="3">
        <v>3200</v>
      </c>
      <c r="AC1061" s="4">
        <v>42716</v>
      </c>
      <c r="AD1061" s="3" t="s">
        <v>42</v>
      </c>
      <c r="AE1061" s="3" t="s">
        <v>4689</v>
      </c>
      <c r="AF1061" s="3">
        <v>0</v>
      </c>
    </row>
    <row r="1062" spans="1:32" ht="27.95" x14ac:dyDescent="0.3">
      <c r="A1062" s="5">
        <v>1056</v>
      </c>
      <c r="B1062" s="5" t="str">
        <f>"201800021611"</f>
        <v>201800021611</v>
      </c>
      <c r="C1062" s="5" t="str">
        <f>"130523"</f>
        <v>130523</v>
      </c>
      <c r="D1062" s="5" t="s">
        <v>5507</v>
      </c>
      <c r="E1062" s="5">
        <v>20601986893</v>
      </c>
      <c r="F1062" s="5" t="s">
        <v>5508</v>
      </c>
      <c r="G1062" s="5" t="s">
        <v>5509</v>
      </c>
      <c r="H1062" s="5" t="s">
        <v>47</v>
      </c>
      <c r="I1062" s="5" t="s">
        <v>47</v>
      </c>
      <c r="J1062" s="5" t="s">
        <v>48</v>
      </c>
      <c r="K1062" s="5" t="s">
        <v>37</v>
      </c>
      <c r="L1062" s="5" t="s">
        <v>63</v>
      </c>
      <c r="M1062" s="5" t="s">
        <v>74</v>
      </c>
      <c r="N1062" s="5" t="s">
        <v>5510</v>
      </c>
      <c r="O1062" s="5" t="s">
        <v>54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>
        <v>12000</v>
      </c>
      <c r="AB1062" s="5">
        <v>4000</v>
      </c>
      <c r="AC1062" s="6">
        <v>43143</v>
      </c>
      <c r="AD1062" s="5" t="s">
        <v>42</v>
      </c>
      <c r="AE1062" s="5" t="s">
        <v>5511</v>
      </c>
      <c r="AF1062" s="5">
        <v>0</v>
      </c>
    </row>
    <row r="1063" spans="1:32" ht="27.95" x14ac:dyDescent="0.3">
      <c r="A1063" s="3">
        <v>1057</v>
      </c>
      <c r="B1063" s="3" t="str">
        <f>"201700190996"</f>
        <v>201700190996</v>
      </c>
      <c r="C1063" s="3" t="str">
        <f>"100144"</f>
        <v>100144</v>
      </c>
      <c r="D1063" s="3" t="s">
        <v>5512</v>
      </c>
      <c r="E1063" s="3">
        <v>20216765860</v>
      </c>
      <c r="F1063" s="3" t="s">
        <v>5513</v>
      </c>
      <c r="G1063" s="3" t="s">
        <v>5514</v>
      </c>
      <c r="H1063" s="3" t="s">
        <v>58</v>
      </c>
      <c r="I1063" s="3" t="s">
        <v>1108</v>
      </c>
      <c r="J1063" s="3" t="s">
        <v>5515</v>
      </c>
      <c r="K1063" s="3" t="s">
        <v>37</v>
      </c>
      <c r="L1063" s="3" t="s">
        <v>238</v>
      </c>
      <c r="M1063" s="3" t="s">
        <v>102</v>
      </c>
      <c r="N1063" s="3" t="s">
        <v>5516</v>
      </c>
      <c r="O1063" s="3" t="s">
        <v>78</v>
      </c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>
        <v>9000</v>
      </c>
      <c r="AB1063" s="3">
        <v>3200</v>
      </c>
      <c r="AC1063" s="4">
        <v>43063</v>
      </c>
      <c r="AD1063" s="3" t="s">
        <v>42</v>
      </c>
      <c r="AE1063" s="3" t="s">
        <v>5517</v>
      </c>
      <c r="AF1063" s="3">
        <v>0</v>
      </c>
    </row>
    <row r="1064" spans="1:32" ht="41.95" x14ac:dyDescent="0.3">
      <c r="A1064" s="5">
        <v>1058</v>
      </c>
      <c r="B1064" s="5" t="str">
        <f>"201700046058"</f>
        <v>201700046058</v>
      </c>
      <c r="C1064" s="5" t="str">
        <f>"97331"</f>
        <v>97331</v>
      </c>
      <c r="D1064" s="5" t="s">
        <v>5518</v>
      </c>
      <c r="E1064" s="5">
        <v>20538685926</v>
      </c>
      <c r="F1064" s="5" t="s">
        <v>5519</v>
      </c>
      <c r="G1064" s="5" t="s">
        <v>5520</v>
      </c>
      <c r="H1064" s="5" t="s">
        <v>47</v>
      </c>
      <c r="I1064" s="5" t="s">
        <v>159</v>
      </c>
      <c r="J1064" s="5" t="s">
        <v>160</v>
      </c>
      <c r="K1064" s="5" t="s">
        <v>37</v>
      </c>
      <c r="L1064" s="5" t="s">
        <v>172</v>
      </c>
      <c r="M1064" s="5" t="s">
        <v>5521</v>
      </c>
      <c r="N1064" s="5" t="s">
        <v>78</v>
      </c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>
        <v>6500</v>
      </c>
      <c r="AB1064" s="5">
        <v>3200</v>
      </c>
      <c r="AC1064" s="6">
        <v>42824</v>
      </c>
      <c r="AD1064" s="5" t="s">
        <v>42</v>
      </c>
      <c r="AE1064" s="5" t="s">
        <v>4312</v>
      </c>
      <c r="AF1064" s="5">
        <v>480</v>
      </c>
    </row>
    <row r="1065" spans="1:32" ht="27.95" x14ac:dyDescent="0.3">
      <c r="A1065" s="3">
        <v>1059</v>
      </c>
      <c r="B1065" s="3" t="str">
        <f>"201800159480"</f>
        <v>201800159480</v>
      </c>
      <c r="C1065" s="3" t="str">
        <f>"61014"</f>
        <v>61014</v>
      </c>
      <c r="D1065" s="3" t="s">
        <v>5522</v>
      </c>
      <c r="E1065" s="3">
        <v>20536547976</v>
      </c>
      <c r="F1065" s="3" t="s">
        <v>5523</v>
      </c>
      <c r="G1065" s="3" t="s">
        <v>5524</v>
      </c>
      <c r="H1065" s="3" t="s">
        <v>329</v>
      </c>
      <c r="I1065" s="3" t="s">
        <v>329</v>
      </c>
      <c r="J1065" s="3" t="s">
        <v>1546</v>
      </c>
      <c r="K1065" s="3" t="s">
        <v>37</v>
      </c>
      <c r="L1065" s="3" t="s">
        <v>5525</v>
      </c>
      <c r="M1065" s="3" t="s">
        <v>5526</v>
      </c>
      <c r="N1065" s="3" t="s">
        <v>5527</v>
      </c>
      <c r="O1065" s="3" t="s">
        <v>78</v>
      </c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>
        <v>13716</v>
      </c>
      <c r="AB1065" s="3">
        <v>3200</v>
      </c>
      <c r="AC1065" s="4">
        <v>43373</v>
      </c>
      <c r="AD1065" s="3" t="s">
        <v>42</v>
      </c>
      <c r="AE1065" s="3" t="s">
        <v>3518</v>
      </c>
      <c r="AF1065" s="3">
        <v>0</v>
      </c>
    </row>
    <row r="1066" spans="1:32" ht="27.95" x14ac:dyDescent="0.3">
      <c r="A1066" s="5">
        <v>1060</v>
      </c>
      <c r="B1066" s="5" t="str">
        <f>"201900076727"</f>
        <v>201900076727</v>
      </c>
      <c r="C1066" s="5" t="str">
        <f>"93384"</f>
        <v>93384</v>
      </c>
      <c r="D1066" s="5" t="s">
        <v>5528</v>
      </c>
      <c r="E1066" s="5">
        <v>20602606105</v>
      </c>
      <c r="F1066" s="5" t="s">
        <v>5529</v>
      </c>
      <c r="G1066" s="5" t="s">
        <v>5530</v>
      </c>
      <c r="H1066" s="5" t="s">
        <v>58</v>
      </c>
      <c r="I1066" s="5" t="s">
        <v>58</v>
      </c>
      <c r="J1066" s="5" t="s">
        <v>1756</v>
      </c>
      <c r="K1066" s="5" t="s">
        <v>37</v>
      </c>
      <c r="L1066" s="5" t="s">
        <v>63</v>
      </c>
      <c r="M1066" s="5" t="s">
        <v>3096</v>
      </c>
      <c r="N1066" s="5" t="s">
        <v>65</v>
      </c>
      <c r="O1066" s="5" t="s">
        <v>248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>
        <v>16000</v>
      </c>
      <c r="AB1066" s="5">
        <v>3000</v>
      </c>
      <c r="AC1066" s="6">
        <v>43599</v>
      </c>
      <c r="AD1066" s="5" t="s">
        <v>42</v>
      </c>
      <c r="AE1066" s="5" t="s">
        <v>710</v>
      </c>
      <c r="AF1066" s="5">
        <v>720</v>
      </c>
    </row>
    <row r="1067" spans="1:32" ht="27.95" x14ac:dyDescent="0.3">
      <c r="A1067" s="3">
        <v>1061</v>
      </c>
      <c r="B1067" s="3" t="str">
        <f>"201500169875"</f>
        <v>201500169875</v>
      </c>
      <c r="C1067" s="3" t="str">
        <f>"119078"</f>
        <v>119078</v>
      </c>
      <c r="D1067" s="3" t="s">
        <v>5531</v>
      </c>
      <c r="E1067" s="3">
        <v>20281453492</v>
      </c>
      <c r="F1067" s="3" t="s">
        <v>5532</v>
      </c>
      <c r="G1067" s="3" t="s">
        <v>5533</v>
      </c>
      <c r="H1067" s="3" t="s">
        <v>108</v>
      </c>
      <c r="I1067" s="3" t="s">
        <v>647</v>
      </c>
      <c r="J1067" s="3" t="s">
        <v>846</v>
      </c>
      <c r="K1067" s="3" t="s">
        <v>37</v>
      </c>
      <c r="L1067" s="3" t="s">
        <v>3225</v>
      </c>
      <c r="M1067" s="3" t="s">
        <v>5461</v>
      </c>
      <c r="N1067" s="3" t="s">
        <v>5534</v>
      </c>
      <c r="O1067" s="3" t="s">
        <v>94</v>
      </c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>
        <v>21600</v>
      </c>
      <c r="AB1067" s="3">
        <v>5000</v>
      </c>
      <c r="AC1067" s="4">
        <v>42361</v>
      </c>
      <c r="AD1067" s="3" t="s">
        <v>42</v>
      </c>
      <c r="AE1067" s="3" t="s">
        <v>5535</v>
      </c>
      <c r="AF1067" s="3">
        <v>0</v>
      </c>
    </row>
    <row r="1068" spans="1:32" ht="27.95" x14ac:dyDescent="0.3">
      <c r="A1068" s="5">
        <v>1062</v>
      </c>
      <c r="B1068" s="5" t="str">
        <f>"201700139711"</f>
        <v>201700139711</v>
      </c>
      <c r="C1068" s="5" t="str">
        <f>"112121"</f>
        <v>112121</v>
      </c>
      <c r="D1068" s="5" t="s">
        <v>5536</v>
      </c>
      <c r="E1068" s="5">
        <v>20534760583</v>
      </c>
      <c r="F1068" s="5" t="s">
        <v>5537</v>
      </c>
      <c r="G1068" s="5" t="s">
        <v>5538</v>
      </c>
      <c r="H1068" s="5" t="s">
        <v>47</v>
      </c>
      <c r="I1068" s="5" t="s">
        <v>159</v>
      </c>
      <c r="J1068" s="5" t="s">
        <v>1772</v>
      </c>
      <c r="K1068" s="5" t="s">
        <v>37</v>
      </c>
      <c r="L1068" s="5" t="s">
        <v>5539</v>
      </c>
      <c r="M1068" s="5" t="s">
        <v>5540</v>
      </c>
      <c r="N1068" s="5" t="s">
        <v>94</v>
      </c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>
        <v>13480</v>
      </c>
      <c r="AB1068" s="5">
        <v>5000</v>
      </c>
      <c r="AC1068" s="6">
        <v>42979</v>
      </c>
      <c r="AD1068" s="5" t="s">
        <v>42</v>
      </c>
      <c r="AE1068" s="5" t="s">
        <v>5340</v>
      </c>
      <c r="AF1068" s="5">
        <v>0</v>
      </c>
    </row>
    <row r="1069" spans="1:32" ht="41.95" x14ac:dyDescent="0.3">
      <c r="A1069" s="3">
        <v>1063</v>
      </c>
      <c r="B1069" s="3" t="str">
        <f>"202000062249"</f>
        <v>202000062249</v>
      </c>
      <c r="C1069" s="3" t="str">
        <f>"147378"</f>
        <v>147378</v>
      </c>
      <c r="D1069" s="3" t="s">
        <v>5541</v>
      </c>
      <c r="E1069" s="3">
        <v>20127765279</v>
      </c>
      <c r="F1069" s="3" t="s">
        <v>1115</v>
      </c>
      <c r="G1069" s="3" t="s">
        <v>5542</v>
      </c>
      <c r="H1069" s="3" t="s">
        <v>329</v>
      </c>
      <c r="I1069" s="3" t="s">
        <v>329</v>
      </c>
      <c r="J1069" s="3" t="s">
        <v>330</v>
      </c>
      <c r="K1069" s="3" t="s">
        <v>37</v>
      </c>
      <c r="L1069" s="3" t="s">
        <v>63</v>
      </c>
      <c r="M1069" s="3" t="s">
        <v>238</v>
      </c>
      <c r="N1069" s="3" t="s">
        <v>76</v>
      </c>
      <c r="O1069" s="3" t="s">
        <v>77</v>
      </c>
      <c r="P1069" s="3" t="s">
        <v>54</v>
      </c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>
        <v>12000</v>
      </c>
      <c r="AB1069" s="3">
        <v>4000</v>
      </c>
      <c r="AC1069" s="4">
        <v>43990</v>
      </c>
      <c r="AD1069" s="3" t="s">
        <v>42</v>
      </c>
      <c r="AE1069" s="3" t="s">
        <v>1374</v>
      </c>
      <c r="AF1069" s="3">
        <v>0</v>
      </c>
    </row>
    <row r="1070" spans="1:32" ht="27.95" x14ac:dyDescent="0.3">
      <c r="A1070" s="5">
        <v>1064</v>
      </c>
      <c r="B1070" s="5" t="str">
        <f>"202000055117"</f>
        <v>202000055117</v>
      </c>
      <c r="C1070" s="5" t="str">
        <f>"141817"</f>
        <v>141817</v>
      </c>
      <c r="D1070" s="5" t="s">
        <v>5543</v>
      </c>
      <c r="E1070" s="5">
        <v>20601366917</v>
      </c>
      <c r="F1070" s="5" t="s">
        <v>5544</v>
      </c>
      <c r="G1070" s="5" t="s">
        <v>5545</v>
      </c>
      <c r="H1070" s="5" t="s">
        <v>187</v>
      </c>
      <c r="I1070" s="5" t="s">
        <v>2570</v>
      </c>
      <c r="J1070" s="5" t="s">
        <v>5546</v>
      </c>
      <c r="K1070" s="5" t="s">
        <v>37</v>
      </c>
      <c r="L1070" s="5" t="s">
        <v>1367</v>
      </c>
      <c r="M1070" s="5" t="s">
        <v>555</v>
      </c>
      <c r="N1070" s="5" t="s">
        <v>161</v>
      </c>
      <c r="O1070" s="5" t="s">
        <v>63</v>
      </c>
      <c r="P1070" s="5" t="s">
        <v>94</v>
      </c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>
        <v>18000</v>
      </c>
      <c r="AB1070" s="5">
        <v>5000</v>
      </c>
      <c r="AC1070" s="6">
        <v>43959</v>
      </c>
      <c r="AD1070" s="5" t="s">
        <v>42</v>
      </c>
      <c r="AE1070" s="5" t="s">
        <v>5547</v>
      </c>
      <c r="AF1070" s="5">
        <v>0</v>
      </c>
    </row>
    <row r="1071" spans="1:32" x14ac:dyDescent="0.3">
      <c r="A1071" s="3">
        <v>1065</v>
      </c>
      <c r="B1071" s="3" t="str">
        <f>"201700162524"</f>
        <v>201700162524</v>
      </c>
      <c r="C1071" s="3" t="str">
        <f>"62646"</f>
        <v>62646</v>
      </c>
      <c r="D1071" s="3" t="s">
        <v>5548</v>
      </c>
      <c r="E1071" s="3">
        <v>20601584973</v>
      </c>
      <c r="F1071" s="3" t="s">
        <v>5549</v>
      </c>
      <c r="G1071" s="3" t="s">
        <v>5550</v>
      </c>
      <c r="H1071" s="3" t="s">
        <v>2831</v>
      </c>
      <c r="I1071" s="3" t="s">
        <v>2832</v>
      </c>
      <c r="J1071" s="3" t="s">
        <v>2833</v>
      </c>
      <c r="K1071" s="3" t="s">
        <v>37</v>
      </c>
      <c r="L1071" s="3" t="s">
        <v>1001</v>
      </c>
      <c r="M1071" s="3" t="s">
        <v>5551</v>
      </c>
      <c r="N1071" s="3" t="s">
        <v>1001</v>
      </c>
      <c r="O1071" s="3" t="s">
        <v>1001</v>
      </c>
      <c r="P1071" s="3" t="s">
        <v>4304</v>
      </c>
      <c r="Q1071" s="3" t="s">
        <v>2265</v>
      </c>
      <c r="R1071" s="3" t="s">
        <v>41</v>
      </c>
      <c r="S1071" s="3"/>
      <c r="T1071" s="3"/>
      <c r="U1071" s="3"/>
      <c r="V1071" s="3"/>
      <c r="W1071" s="3"/>
      <c r="X1071" s="3"/>
      <c r="Y1071" s="3"/>
      <c r="Z1071" s="3"/>
      <c r="AA1071" s="3">
        <v>51900</v>
      </c>
      <c r="AB1071" s="3">
        <v>10000</v>
      </c>
      <c r="AC1071" s="4">
        <v>43012</v>
      </c>
      <c r="AD1071" s="3" t="s">
        <v>42</v>
      </c>
      <c r="AE1071" s="3" t="s">
        <v>3196</v>
      </c>
      <c r="AF1071" s="3">
        <v>0</v>
      </c>
    </row>
    <row r="1072" spans="1:32" x14ac:dyDescent="0.3">
      <c r="A1072" s="5">
        <v>1066</v>
      </c>
      <c r="B1072" s="5" t="str">
        <f>"201900209202"</f>
        <v>201900209202</v>
      </c>
      <c r="C1072" s="5" t="str">
        <f>"18431"</f>
        <v>18431</v>
      </c>
      <c r="D1072" s="5" t="s">
        <v>5552</v>
      </c>
      <c r="E1072" s="5">
        <v>20482035311</v>
      </c>
      <c r="F1072" s="5" t="s">
        <v>5553</v>
      </c>
      <c r="G1072" s="5" t="s">
        <v>5554</v>
      </c>
      <c r="H1072" s="5" t="s">
        <v>219</v>
      </c>
      <c r="I1072" s="5" t="s">
        <v>568</v>
      </c>
      <c r="J1072" s="5" t="s">
        <v>3911</v>
      </c>
      <c r="K1072" s="5" t="s">
        <v>37</v>
      </c>
      <c r="L1072" s="5" t="s">
        <v>5555</v>
      </c>
      <c r="M1072" s="5" t="s">
        <v>1008</v>
      </c>
      <c r="N1072" s="5" t="s">
        <v>322</v>
      </c>
      <c r="O1072" s="5" t="s">
        <v>94</v>
      </c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>
        <v>8000</v>
      </c>
      <c r="AB1072" s="5">
        <v>5000</v>
      </c>
      <c r="AC1072" s="6">
        <v>43819</v>
      </c>
      <c r="AD1072" s="5" t="s">
        <v>42</v>
      </c>
      <c r="AE1072" s="5" t="s">
        <v>5556</v>
      </c>
      <c r="AF1072" s="5">
        <v>720</v>
      </c>
    </row>
    <row r="1073" spans="1:32" ht="41.95" x14ac:dyDescent="0.3">
      <c r="A1073" s="3">
        <v>1067</v>
      </c>
      <c r="B1073" s="3" t="str">
        <f>"201700036293"</f>
        <v>201700036293</v>
      </c>
      <c r="C1073" s="3" t="str">
        <f>"6746"</f>
        <v>6746</v>
      </c>
      <c r="D1073" s="3" t="s">
        <v>5557</v>
      </c>
      <c r="E1073" s="3">
        <v>20492574067</v>
      </c>
      <c r="F1073" s="3" t="s">
        <v>5558</v>
      </c>
      <c r="G1073" s="3" t="s">
        <v>5559</v>
      </c>
      <c r="H1073" s="3" t="s">
        <v>58</v>
      </c>
      <c r="I1073" s="3" t="s">
        <v>58</v>
      </c>
      <c r="J1073" s="3" t="s">
        <v>2562</v>
      </c>
      <c r="K1073" s="3" t="s">
        <v>37</v>
      </c>
      <c r="L1073" s="3" t="s">
        <v>3353</v>
      </c>
      <c r="M1073" s="3" t="s">
        <v>3353</v>
      </c>
      <c r="N1073" s="3" t="s">
        <v>3353</v>
      </c>
      <c r="O1073" s="3" t="s">
        <v>5560</v>
      </c>
      <c r="P1073" s="3" t="s">
        <v>5561</v>
      </c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>
        <v>39500</v>
      </c>
      <c r="AB1073" s="3">
        <v>4319</v>
      </c>
      <c r="AC1073" s="4">
        <v>42807</v>
      </c>
      <c r="AD1073" s="3" t="s">
        <v>42</v>
      </c>
      <c r="AE1073" s="3" t="s">
        <v>5562</v>
      </c>
      <c r="AF1073" s="3">
        <v>0</v>
      </c>
    </row>
    <row r="1074" spans="1:32" ht="27.95" x14ac:dyDescent="0.3">
      <c r="A1074" s="5">
        <v>1068</v>
      </c>
      <c r="B1074" s="5" t="str">
        <f>"201900115494"</f>
        <v>201900115494</v>
      </c>
      <c r="C1074" s="5" t="str">
        <f>"14526"</f>
        <v>14526</v>
      </c>
      <c r="D1074" s="5" t="s">
        <v>5563</v>
      </c>
      <c r="E1074" s="5">
        <v>20310658287</v>
      </c>
      <c r="F1074" s="5" t="s">
        <v>5564</v>
      </c>
      <c r="G1074" s="5" t="s">
        <v>5565</v>
      </c>
      <c r="H1074" s="5" t="s">
        <v>47</v>
      </c>
      <c r="I1074" s="5" t="s">
        <v>290</v>
      </c>
      <c r="J1074" s="5" t="s">
        <v>2230</v>
      </c>
      <c r="K1074" s="5" t="s">
        <v>37</v>
      </c>
      <c r="L1074" s="5" t="s">
        <v>63</v>
      </c>
      <c r="M1074" s="5" t="s">
        <v>161</v>
      </c>
      <c r="N1074" s="5" t="s">
        <v>63</v>
      </c>
      <c r="O1074" s="5" t="s">
        <v>5566</v>
      </c>
      <c r="P1074" s="5" t="s">
        <v>120</v>
      </c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>
        <v>24000</v>
      </c>
      <c r="AB1074" s="5">
        <v>3500</v>
      </c>
      <c r="AC1074" s="6">
        <v>43662</v>
      </c>
      <c r="AD1074" s="5" t="s">
        <v>42</v>
      </c>
      <c r="AE1074" s="5" t="s">
        <v>5567</v>
      </c>
      <c r="AF1074" s="5">
        <v>0</v>
      </c>
    </row>
    <row r="1075" spans="1:32" ht="27.95" x14ac:dyDescent="0.3">
      <c r="A1075" s="3">
        <v>1069</v>
      </c>
      <c r="B1075" s="3" t="str">
        <f>"202000057268"</f>
        <v>202000057268</v>
      </c>
      <c r="C1075" s="3" t="str">
        <f>"8278"</f>
        <v>8278</v>
      </c>
      <c r="D1075" s="3" t="s">
        <v>5568</v>
      </c>
      <c r="E1075" s="3">
        <v>20450236137</v>
      </c>
      <c r="F1075" s="3" t="s">
        <v>1505</v>
      </c>
      <c r="G1075" s="3" t="s">
        <v>5569</v>
      </c>
      <c r="H1075" s="3" t="s">
        <v>150</v>
      </c>
      <c r="I1075" s="3" t="s">
        <v>1244</v>
      </c>
      <c r="J1075" s="3" t="s">
        <v>1245</v>
      </c>
      <c r="K1075" s="3" t="s">
        <v>37</v>
      </c>
      <c r="L1075" s="3" t="s">
        <v>320</v>
      </c>
      <c r="M1075" s="3" t="s">
        <v>5570</v>
      </c>
      <c r="N1075" s="3" t="s">
        <v>5571</v>
      </c>
      <c r="O1075" s="3" t="s">
        <v>2609</v>
      </c>
      <c r="P1075" s="3" t="s">
        <v>1508</v>
      </c>
      <c r="Q1075" s="3" t="s">
        <v>1507</v>
      </c>
      <c r="R1075" s="3" t="s">
        <v>480</v>
      </c>
      <c r="S1075" s="3"/>
      <c r="T1075" s="3"/>
      <c r="U1075" s="3"/>
      <c r="V1075" s="3"/>
      <c r="W1075" s="3"/>
      <c r="X1075" s="3"/>
      <c r="Y1075" s="3"/>
      <c r="Z1075" s="3"/>
      <c r="AA1075" s="3">
        <v>49200</v>
      </c>
      <c r="AB1075" s="3">
        <v>7800</v>
      </c>
      <c r="AC1075" s="4">
        <v>43967</v>
      </c>
      <c r="AD1075" s="3" t="s">
        <v>42</v>
      </c>
      <c r="AE1075" s="3" t="s">
        <v>1510</v>
      </c>
      <c r="AF1075" s="3">
        <v>0</v>
      </c>
    </row>
    <row r="1076" spans="1:32" ht="27.95" x14ac:dyDescent="0.3">
      <c r="A1076" s="5">
        <v>1070</v>
      </c>
      <c r="B1076" s="5" t="str">
        <f>"201600096335"</f>
        <v>201600096335</v>
      </c>
      <c r="C1076" s="5" t="str">
        <f>"8948"</f>
        <v>8948</v>
      </c>
      <c r="D1076" s="5" t="s">
        <v>5572</v>
      </c>
      <c r="E1076" s="5">
        <v>20491305119</v>
      </c>
      <c r="F1076" s="5" t="s">
        <v>5573</v>
      </c>
      <c r="G1076" s="5" t="s">
        <v>5574</v>
      </c>
      <c r="H1076" s="5" t="s">
        <v>58</v>
      </c>
      <c r="I1076" s="5" t="s">
        <v>1108</v>
      </c>
      <c r="J1076" s="5" t="s">
        <v>1850</v>
      </c>
      <c r="K1076" s="5" t="s">
        <v>37</v>
      </c>
      <c r="L1076" s="5" t="s">
        <v>73</v>
      </c>
      <c r="M1076" s="5" t="s">
        <v>2052</v>
      </c>
      <c r="N1076" s="5" t="s">
        <v>72</v>
      </c>
      <c r="O1076" s="5" t="s">
        <v>380</v>
      </c>
      <c r="P1076" s="5" t="s">
        <v>66</v>
      </c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>
        <v>32000</v>
      </c>
      <c r="AB1076" s="5">
        <v>4500</v>
      </c>
      <c r="AC1076" s="6">
        <v>42552</v>
      </c>
      <c r="AD1076" s="5" t="s">
        <v>42</v>
      </c>
      <c r="AE1076" s="5" t="s">
        <v>5575</v>
      </c>
      <c r="AF1076" s="5">
        <v>720</v>
      </c>
    </row>
    <row r="1077" spans="1:32" x14ac:dyDescent="0.3">
      <c r="A1077" s="3">
        <v>1071</v>
      </c>
      <c r="B1077" s="3" t="str">
        <f>"202000056707"</f>
        <v>202000056707</v>
      </c>
      <c r="C1077" s="3" t="str">
        <f>"146787"</f>
        <v>146787</v>
      </c>
      <c r="D1077" s="3" t="s">
        <v>5576</v>
      </c>
      <c r="E1077" s="3">
        <v>20600782275</v>
      </c>
      <c r="F1077" s="3" t="s">
        <v>5577</v>
      </c>
      <c r="G1077" s="3" t="s">
        <v>5578</v>
      </c>
      <c r="H1077" s="3" t="s">
        <v>999</v>
      </c>
      <c r="I1077" s="3" t="s">
        <v>999</v>
      </c>
      <c r="J1077" s="3" t="s">
        <v>999</v>
      </c>
      <c r="K1077" s="3" t="s">
        <v>37</v>
      </c>
      <c r="L1077" s="3" t="s">
        <v>110</v>
      </c>
      <c r="M1077" s="3" t="s">
        <v>5579</v>
      </c>
      <c r="N1077" s="3" t="s">
        <v>669</v>
      </c>
      <c r="O1077" s="3" t="s">
        <v>313</v>
      </c>
      <c r="P1077" s="3" t="s">
        <v>94</v>
      </c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>
        <v>20800</v>
      </c>
      <c r="AB1077" s="3">
        <v>5000</v>
      </c>
      <c r="AC1077" s="4">
        <v>43968</v>
      </c>
      <c r="AD1077" s="3" t="s">
        <v>42</v>
      </c>
      <c r="AE1077" s="3" t="s">
        <v>5580</v>
      </c>
      <c r="AF1077" s="3">
        <v>0</v>
      </c>
    </row>
    <row r="1078" spans="1:32" x14ac:dyDescent="0.3">
      <c r="A1078" s="5">
        <v>1072</v>
      </c>
      <c r="B1078" s="5" t="str">
        <f>"201800140612"</f>
        <v>201800140612</v>
      </c>
      <c r="C1078" s="5" t="str">
        <f>"138229"</f>
        <v>138229</v>
      </c>
      <c r="D1078" s="5" t="s">
        <v>5581</v>
      </c>
      <c r="E1078" s="5">
        <v>20601972558</v>
      </c>
      <c r="F1078" s="5" t="s">
        <v>5582</v>
      </c>
      <c r="G1078" s="5" t="s">
        <v>5583</v>
      </c>
      <c r="H1078" s="5" t="s">
        <v>58</v>
      </c>
      <c r="I1078" s="5" t="s">
        <v>1108</v>
      </c>
      <c r="J1078" s="5" t="s">
        <v>5584</v>
      </c>
      <c r="K1078" s="5" t="s">
        <v>37</v>
      </c>
      <c r="L1078" s="5" t="s">
        <v>166</v>
      </c>
      <c r="M1078" s="5" t="s">
        <v>174</v>
      </c>
      <c r="N1078" s="5" t="s">
        <v>171</v>
      </c>
      <c r="O1078" s="5" t="s">
        <v>65</v>
      </c>
      <c r="P1078" s="5" t="s">
        <v>154</v>
      </c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>
        <v>22000</v>
      </c>
      <c r="AB1078" s="5">
        <v>6000</v>
      </c>
      <c r="AC1078" s="6">
        <v>43349</v>
      </c>
      <c r="AD1078" s="5" t="s">
        <v>42</v>
      </c>
      <c r="AE1078" s="5" t="s">
        <v>5585</v>
      </c>
      <c r="AF1078" s="5">
        <v>0</v>
      </c>
    </row>
    <row r="1079" spans="1:32" ht="27.95" x14ac:dyDescent="0.3">
      <c r="A1079" s="3">
        <v>1073</v>
      </c>
      <c r="B1079" s="3" t="str">
        <f>"202000056706"</f>
        <v>202000056706</v>
      </c>
      <c r="C1079" s="3" t="str">
        <f>"133274"</f>
        <v>133274</v>
      </c>
      <c r="D1079" s="3" t="s">
        <v>5586</v>
      </c>
      <c r="E1079" s="3">
        <v>20601006511</v>
      </c>
      <c r="F1079" s="3" t="s">
        <v>5587</v>
      </c>
      <c r="G1079" s="3" t="s">
        <v>5588</v>
      </c>
      <c r="H1079" s="3" t="s">
        <v>187</v>
      </c>
      <c r="I1079" s="3" t="s">
        <v>187</v>
      </c>
      <c r="J1079" s="3" t="s">
        <v>769</v>
      </c>
      <c r="K1079" s="3" t="s">
        <v>37</v>
      </c>
      <c r="L1079" s="3" t="s">
        <v>1751</v>
      </c>
      <c r="M1079" s="3" t="s">
        <v>51</v>
      </c>
      <c r="N1079" s="3" t="s">
        <v>102</v>
      </c>
      <c r="O1079" s="3" t="s">
        <v>102</v>
      </c>
      <c r="P1079" s="3" t="s">
        <v>248</v>
      </c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>
        <v>20000</v>
      </c>
      <c r="AB1079" s="3">
        <v>3000</v>
      </c>
      <c r="AC1079" s="4">
        <v>43969</v>
      </c>
      <c r="AD1079" s="3" t="s">
        <v>42</v>
      </c>
      <c r="AE1079" s="3" t="s">
        <v>5589</v>
      </c>
      <c r="AF1079" s="3">
        <v>720</v>
      </c>
    </row>
    <row r="1080" spans="1:32" ht="41.95" x14ac:dyDescent="0.3">
      <c r="A1080" s="5">
        <v>1074</v>
      </c>
      <c r="B1080" s="5" t="str">
        <f>"202000090637"</f>
        <v>202000090637</v>
      </c>
      <c r="C1080" s="5" t="str">
        <f>"9535"</f>
        <v>9535</v>
      </c>
      <c r="D1080" s="5" t="s">
        <v>5590</v>
      </c>
      <c r="E1080" s="5">
        <v>20524280419</v>
      </c>
      <c r="F1080" s="5" t="s">
        <v>5591</v>
      </c>
      <c r="G1080" s="5" t="s">
        <v>5592</v>
      </c>
      <c r="H1080" s="5" t="s">
        <v>329</v>
      </c>
      <c r="I1080" s="5" t="s">
        <v>329</v>
      </c>
      <c r="J1080" s="5" t="s">
        <v>386</v>
      </c>
      <c r="K1080" s="5" t="s">
        <v>37</v>
      </c>
      <c r="L1080" s="5" t="s">
        <v>1016</v>
      </c>
      <c r="M1080" s="5" t="s">
        <v>5593</v>
      </c>
      <c r="N1080" s="5" t="s">
        <v>446</v>
      </c>
      <c r="O1080" s="5" t="s">
        <v>166</v>
      </c>
      <c r="P1080" s="5" t="s">
        <v>78</v>
      </c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>
        <v>40000</v>
      </c>
      <c r="AB1080" s="5">
        <v>3200</v>
      </c>
      <c r="AC1080" s="6">
        <v>44048</v>
      </c>
      <c r="AD1080" s="5" t="s">
        <v>42</v>
      </c>
      <c r="AE1080" s="5" t="s">
        <v>1030</v>
      </c>
      <c r="AF1080" s="5">
        <v>360</v>
      </c>
    </row>
    <row r="1081" spans="1:32" x14ac:dyDescent="0.3">
      <c r="A1081" s="3">
        <v>1075</v>
      </c>
      <c r="B1081" s="3" t="str">
        <f>"202000058129"</f>
        <v>202000058129</v>
      </c>
      <c r="C1081" s="3" t="str">
        <f>"16722"</f>
        <v>16722</v>
      </c>
      <c r="D1081" s="3" t="s">
        <v>5594</v>
      </c>
      <c r="E1081" s="3">
        <v>20277185076</v>
      </c>
      <c r="F1081" s="3" t="s">
        <v>5595</v>
      </c>
      <c r="G1081" s="3" t="s">
        <v>5596</v>
      </c>
      <c r="H1081" s="3" t="s">
        <v>187</v>
      </c>
      <c r="I1081" s="3" t="s">
        <v>260</v>
      </c>
      <c r="J1081" s="3" t="s">
        <v>5597</v>
      </c>
      <c r="K1081" s="3" t="s">
        <v>37</v>
      </c>
      <c r="L1081" s="3" t="s">
        <v>5598</v>
      </c>
      <c r="M1081" s="3" t="s">
        <v>174</v>
      </c>
      <c r="N1081" s="3" t="s">
        <v>1647</v>
      </c>
      <c r="O1081" s="3" t="s">
        <v>63</v>
      </c>
      <c r="P1081" s="3" t="s">
        <v>172</v>
      </c>
      <c r="Q1081" s="3" t="s">
        <v>247</v>
      </c>
      <c r="R1081" s="3" t="s">
        <v>94</v>
      </c>
      <c r="S1081" s="3"/>
      <c r="T1081" s="3"/>
      <c r="U1081" s="3"/>
      <c r="V1081" s="3"/>
      <c r="W1081" s="3"/>
      <c r="X1081" s="3"/>
      <c r="Y1081" s="3"/>
      <c r="Z1081" s="3"/>
      <c r="AA1081" s="3">
        <v>23170</v>
      </c>
      <c r="AB1081" s="3">
        <v>5000</v>
      </c>
      <c r="AC1081" s="4">
        <v>43970</v>
      </c>
      <c r="AD1081" s="3" t="s">
        <v>42</v>
      </c>
      <c r="AE1081" s="3" t="s">
        <v>5599</v>
      </c>
      <c r="AF1081" s="3">
        <v>720</v>
      </c>
    </row>
    <row r="1082" spans="1:32" ht="27.95" x14ac:dyDescent="0.3">
      <c r="A1082" s="5">
        <v>1076</v>
      </c>
      <c r="B1082" s="5" t="str">
        <f>"201900060274"</f>
        <v>201900060274</v>
      </c>
      <c r="C1082" s="5" t="str">
        <f>"16672"</f>
        <v>16672</v>
      </c>
      <c r="D1082" s="5" t="s">
        <v>5600</v>
      </c>
      <c r="E1082" s="5">
        <v>20127765279</v>
      </c>
      <c r="F1082" s="5" t="s">
        <v>1115</v>
      </c>
      <c r="G1082" s="5" t="s">
        <v>5601</v>
      </c>
      <c r="H1082" s="5" t="s">
        <v>36</v>
      </c>
      <c r="I1082" s="5" t="s">
        <v>409</v>
      </c>
      <c r="J1082" s="5" t="s">
        <v>409</v>
      </c>
      <c r="K1082" s="5" t="s">
        <v>37</v>
      </c>
      <c r="L1082" s="5" t="s">
        <v>77</v>
      </c>
      <c r="M1082" s="5" t="s">
        <v>324</v>
      </c>
      <c r="N1082" s="5" t="s">
        <v>211</v>
      </c>
      <c r="O1082" s="5" t="s">
        <v>174</v>
      </c>
      <c r="P1082" s="5" t="s">
        <v>120</v>
      </c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>
        <v>12000</v>
      </c>
      <c r="AB1082" s="5">
        <v>3500</v>
      </c>
      <c r="AC1082" s="6">
        <v>43574</v>
      </c>
      <c r="AD1082" s="5" t="s">
        <v>42</v>
      </c>
      <c r="AE1082" s="5" t="s">
        <v>279</v>
      </c>
      <c r="AF1082" s="5">
        <v>0</v>
      </c>
    </row>
    <row r="1083" spans="1:32" x14ac:dyDescent="0.3">
      <c r="A1083" s="3">
        <v>1077</v>
      </c>
      <c r="B1083" s="3" t="str">
        <f>"201600020356"</f>
        <v>201600020356</v>
      </c>
      <c r="C1083" s="3" t="str">
        <f>"16622"</f>
        <v>16622</v>
      </c>
      <c r="D1083" s="3" t="s">
        <v>5602</v>
      </c>
      <c r="E1083" s="3">
        <v>20343081368</v>
      </c>
      <c r="F1083" s="3" t="s">
        <v>5603</v>
      </c>
      <c r="G1083" s="3" t="s">
        <v>5604</v>
      </c>
      <c r="H1083" s="3" t="s">
        <v>58</v>
      </c>
      <c r="I1083" s="3" t="s">
        <v>58</v>
      </c>
      <c r="J1083" s="3" t="s">
        <v>3713</v>
      </c>
      <c r="K1083" s="3" t="s">
        <v>37</v>
      </c>
      <c r="L1083" s="3" t="s">
        <v>743</v>
      </c>
      <c r="M1083" s="3" t="s">
        <v>51</v>
      </c>
      <c r="N1083" s="3" t="s">
        <v>50</v>
      </c>
      <c r="O1083" s="3" t="s">
        <v>102</v>
      </c>
      <c r="P1083" s="3" t="s">
        <v>5605</v>
      </c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>
        <v>20000</v>
      </c>
      <c r="AB1083" s="3">
        <v>3600</v>
      </c>
      <c r="AC1083" s="4">
        <v>42418</v>
      </c>
      <c r="AD1083" s="3" t="s">
        <v>42</v>
      </c>
      <c r="AE1083" s="3" t="s">
        <v>5606</v>
      </c>
      <c r="AF1083" s="3">
        <v>0</v>
      </c>
    </row>
    <row r="1084" spans="1:32" ht="27.95" x14ac:dyDescent="0.3">
      <c r="A1084" s="5">
        <v>1078</v>
      </c>
      <c r="B1084" s="5" t="str">
        <f>"201700104170"</f>
        <v>201700104170</v>
      </c>
      <c r="C1084" s="5" t="str">
        <f>"9170"</f>
        <v>9170</v>
      </c>
      <c r="D1084" s="5" t="s">
        <v>5607</v>
      </c>
      <c r="E1084" s="5">
        <v>10800026062</v>
      </c>
      <c r="F1084" s="5" t="s">
        <v>5608</v>
      </c>
      <c r="G1084" s="5" t="s">
        <v>5609</v>
      </c>
      <c r="H1084" s="5" t="s">
        <v>108</v>
      </c>
      <c r="I1084" s="5" t="s">
        <v>144</v>
      </c>
      <c r="J1084" s="5" t="s">
        <v>144</v>
      </c>
      <c r="K1084" s="5" t="s">
        <v>37</v>
      </c>
      <c r="L1084" s="5" t="s">
        <v>74</v>
      </c>
      <c r="M1084" s="5" t="s">
        <v>172</v>
      </c>
      <c r="N1084" s="5" t="s">
        <v>241</v>
      </c>
      <c r="O1084" s="5" t="s">
        <v>94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>
        <v>8000</v>
      </c>
      <c r="AB1084" s="5">
        <v>5000</v>
      </c>
      <c r="AC1084" s="6">
        <v>42926</v>
      </c>
      <c r="AD1084" s="5" t="s">
        <v>42</v>
      </c>
      <c r="AE1084" s="5" t="s">
        <v>5608</v>
      </c>
      <c r="AF1084" s="5">
        <v>0</v>
      </c>
    </row>
    <row r="1085" spans="1:32" x14ac:dyDescent="0.3">
      <c r="A1085" s="3">
        <v>1079</v>
      </c>
      <c r="B1085" s="3" t="str">
        <f>"201900060275"</f>
        <v>201900060275</v>
      </c>
      <c r="C1085" s="3" t="str">
        <f>"8696"</f>
        <v>8696</v>
      </c>
      <c r="D1085" s="3" t="s">
        <v>5610</v>
      </c>
      <c r="E1085" s="3">
        <v>20127765279</v>
      </c>
      <c r="F1085" s="3" t="s">
        <v>1115</v>
      </c>
      <c r="G1085" s="3" t="s">
        <v>5611</v>
      </c>
      <c r="H1085" s="3" t="s">
        <v>36</v>
      </c>
      <c r="I1085" s="3" t="s">
        <v>409</v>
      </c>
      <c r="J1085" s="3" t="s">
        <v>410</v>
      </c>
      <c r="K1085" s="3" t="s">
        <v>37</v>
      </c>
      <c r="L1085" s="3" t="s">
        <v>5612</v>
      </c>
      <c r="M1085" s="3" t="s">
        <v>5613</v>
      </c>
      <c r="N1085" s="3" t="s">
        <v>5614</v>
      </c>
      <c r="O1085" s="3" t="s">
        <v>5615</v>
      </c>
      <c r="P1085" s="3" t="s">
        <v>103</v>
      </c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>
        <v>13998</v>
      </c>
      <c r="AB1085" s="3">
        <v>2500</v>
      </c>
      <c r="AC1085" s="4">
        <v>43587</v>
      </c>
      <c r="AD1085" s="3" t="s">
        <v>42</v>
      </c>
      <c r="AE1085" s="3" t="s">
        <v>279</v>
      </c>
      <c r="AF1085" s="3">
        <v>0</v>
      </c>
    </row>
    <row r="1086" spans="1:32" ht="27.95" x14ac:dyDescent="0.3">
      <c r="A1086" s="5">
        <v>1080</v>
      </c>
      <c r="B1086" s="5" t="str">
        <f>"201600090256"</f>
        <v>201600090256</v>
      </c>
      <c r="C1086" s="5" t="str">
        <f>"19912"</f>
        <v>19912</v>
      </c>
      <c r="D1086" s="5" t="s">
        <v>5616</v>
      </c>
      <c r="E1086" s="5">
        <v>10206578233</v>
      </c>
      <c r="F1086" s="5" t="s">
        <v>579</v>
      </c>
      <c r="G1086" s="5" t="s">
        <v>5617</v>
      </c>
      <c r="H1086" s="5" t="s">
        <v>108</v>
      </c>
      <c r="I1086" s="5" t="s">
        <v>852</v>
      </c>
      <c r="J1086" s="5" t="s">
        <v>852</v>
      </c>
      <c r="K1086" s="5" t="s">
        <v>37</v>
      </c>
      <c r="L1086" s="5" t="s">
        <v>5618</v>
      </c>
      <c r="M1086" s="5" t="s">
        <v>5619</v>
      </c>
      <c r="N1086" s="5" t="s">
        <v>54</v>
      </c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>
        <v>10400</v>
      </c>
      <c r="AB1086" s="5">
        <v>4000</v>
      </c>
      <c r="AC1086" s="6">
        <v>42575</v>
      </c>
      <c r="AD1086" s="5" t="s">
        <v>42</v>
      </c>
      <c r="AE1086" s="5" t="s">
        <v>579</v>
      </c>
      <c r="AF1086" s="5">
        <v>480</v>
      </c>
    </row>
    <row r="1087" spans="1:32" ht="27.95" x14ac:dyDescent="0.3">
      <c r="A1087" s="3">
        <v>1081</v>
      </c>
      <c r="B1087" s="3" t="str">
        <f>"201800158616"</f>
        <v>201800158616</v>
      </c>
      <c r="C1087" s="3" t="str">
        <f>"18503"</f>
        <v>18503</v>
      </c>
      <c r="D1087" s="3" t="s">
        <v>5620</v>
      </c>
      <c r="E1087" s="3">
        <v>20486321572</v>
      </c>
      <c r="F1087" s="3" t="s">
        <v>5621</v>
      </c>
      <c r="G1087" s="3" t="s">
        <v>5622</v>
      </c>
      <c r="H1087" s="3" t="s">
        <v>108</v>
      </c>
      <c r="I1087" s="3" t="s">
        <v>852</v>
      </c>
      <c r="J1087" s="3" t="s">
        <v>852</v>
      </c>
      <c r="K1087" s="3" t="s">
        <v>37</v>
      </c>
      <c r="L1087" s="3" t="s">
        <v>3124</v>
      </c>
      <c r="M1087" s="3" t="s">
        <v>3336</v>
      </c>
      <c r="N1087" s="3" t="s">
        <v>811</v>
      </c>
      <c r="O1087" s="3" t="s">
        <v>5623</v>
      </c>
      <c r="P1087" s="3" t="s">
        <v>154</v>
      </c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>
        <v>13500</v>
      </c>
      <c r="AB1087" s="3">
        <v>6000</v>
      </c>
      <c r="AC1087" s="4">
        <v>43366</v>
      </c>
      <c r="AD1087" s="3" t="s">
        <v>42</v>
      </c>
      <c r="AE1087" s="3" t="s">
        <v>5624</v>
      </c>
      <c r="AF1087" s="3">
        <v>0</v>
      </c>
    </row>
    <row r="1088" spans="1:32" ht="27.95" x14ac:dyDescent="0.3">
      <c r="A1088" s="5">
        <v>1082</v>
      </c>
      <c r="B1088" s="5" t="str">
        <f>"201900204246"</f>
        <v>201900204246</v>
      </c>
      <c r="C1088" s="5" t="str">
        <f>"16759"</f>
        <v>16759</v>
      </c>
      <c r="D1088" s="5" t="s">
        <v>5625</v>
      </c>
      <c r="E1088" s="5">
        <v>20127765279</v>
      </c>
      <c r="F1088" s="5" t="s">
        <v>1115</v>
      </c>
      <c r="G1088" s="5" t="s">
        <v>5626</v>
      </c>
      <c r="H1088" s="5" t="s">
        <v>219</v>
      </c>
      <c r="I1088" s="5" t="s">
        <v>220</v>
      </c>
      <c r="J1088" s="5" t="s">
        <v>220</v>
      </c>
      <c r="K1088" s="5" t="s">
        <v>37</v>
      </c>
      <c r="L1088" s="5" t="s">
        <v>5627</v>
      </c>
      <c r="M1088" s="5" t="s">
        <v>5628</v>
      </c>
      <c r="N1088" s="5" t="s">
        <v>78</v>
      </c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>
        <v>8063</v>
      </c>
      <c r="AB1088" s="5">
        <v>3200</v>
      </c>
      <c r="AC1088" s="6">
        <v>43810</v>
      </c>
      <c r="AD1088" s="5" t="s">
        <v>42</v>
      </c>
      <c r="AE1088" s="5" t="s">
        <v>279</v>
      </c>
      <c r="AF1088" s="5">
        <v>0</v>
      </c>
    </row>
    <row r="1089" spans="1:32" ht="27.95" x14ac:dyDescent="0.3">
      <c r="A1089" s="3">
        <v>1083</v>
      </c>
      <c r="B1089" s="3" t="str">
        <f>"201700144922"</f>
        <v>201700144922</v>
      </c>
      <c r="C1089" s="3" t="str">
        <f>"131681"</f>
        <v>131681</v>
      </c>
      <c r="D1089" s="3" t="s">
        <v>5629</v>
      </c>
      <c r="E1089" s="3">
        <v>20601691150</v>
      </c>
      <c r="F1089" s="3" t="s">
        <v>5630</v>
      </c>
      <c r="G1089" s="3" t="s">
        <v>5631</v>
      </c>
      <c r="H1089" s="3" t="s">
        <v>108</v>
      </c>
      <c r="I1089" s="3" t="s">
        <v>144</v>
      </c>
      <c r="J1089" s="3" t="s">
        <v>779</v>
      </c>
      <c r="K1089" s="3" t="s">
        <v>37</v>
      </c>
      <c r="L1089" s="3" t="s">
        <v>5632</v>
      </c>
      <c r="M1089" s="3" t="s">
        <v>5633</v>
      </c>
      <c r="N1089" s="3" t="s">
        <v>2965</v>
      </c>
      <c r="O1089" s="3" t="s">
        <v>94</v>
      </c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>
        <v>19800</v>
      </c>
      <c r="AB1089" s="3">
        <v>5000</v>
      </c>
      <c r="AC1089" s="4">
        <v>42990</v>
      </c>
      <c r="AD1089" s="3" t="s">
        <v>42</v>
      </c>
      <c r="AE1089" s="3" t="s">
        <v>5634</v>
      </c>
      <c r="AF1089" s="3">
        <v>0</v>
      </c>
    </row>
    <row r="1090" spans="1:32" ht="27.95" x14ac:dyDescent="0.3">
      <c r="A1090" s="5">
        <v>1084</v>
      </c>
      <c r="B1090" s="5" t="str">
        <f>"201900125879"</f>
        <v>201900125879</v>
      </c>
      <c r="C1090" s="5" t="str">
        <f>"98095"</f>
        <v>98095</v>
      </c>
      <c r="D1090" s="5" t="s">
        <v>5635</v>
      </c>
      <c r="E1090" s="5">
        <v>20554167293</v>
      </c>
      <c r="F1090" s="5" t="s">
        <v>5636</v>
      </c>
      <c r="G1090" s="5" t="s">
        <v>5637</v>
      </c>
      <c r="H1090" s="5" t="s">
        <v>58</v>
      </c>
      <c r="I1090" s="5" t="s">
        <v>58</v>
      </c>
      <c r="J1090" s="5" t="s">
        <v>1756</v>
      </c>
      <c r="K1090" s="5" t="s">
        <v>37</v>
      </c>
      <c r="L1090" s="5" t="s">
        <v>74</v>
      </c>
      <c r="M1090" s="5" t="s">
        <v>5638</v>
      </c>
      <c r="N1090" s="5" t="s">
        <v>63</v>
      </c>
      <c r="O1090" s="5" t="s">
        <v>4019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>
        <v>12000</v>
      </c>
      <c r="AB1090" s="5">
        <v>2200</v>
      </c>
      <c r="AC1090" s="6">
        <v>43686</v>
      </c>
      <c r="AD1090" s="5" t="s">
        <v>42</v>
      </c>
      <c r="AE1090" s="5" t="s">
        <v>206</v>
      </c>
      <c r="AF1090" s="5">
        <v>240</v>
      </c>
    </row>
    <row r="1091" spans="1:32" ht="41.95" x14ac:dyDescent="0.3">
      <c r="A1091" s="3">
        <v>1085</v>
      </c>
      <c r="B1091" s="3" t="str">
        <f>"201900147413"</f>
        <v>201900147413</v>
      </c>
      <c r="C1091" s="3" t="str">
        <f>"100862"</f>
        <v>100862</v>
      </c>
      <c r="D1091" s="3" t="s">
        <v>5639</v>
      </c>
      <c r="E1091" s="3">
        <v>10414526638</v>
      </c>
      <c r="F1091" s="3" t="s">
        <v>5640</v>
      </c>
      <c r="G1091" s="3" t="s">
        <v>5641</v>
      </c>
      <c r="H1091" s="3" t="s">
        <v>58</v>
      </c>
      <c r="I1091" s="3" t="s">
        <v>498</v>
      </c>
      <c r="J1091" s="3" t="s">
        <v>988</v>
      </c>
      <c r="K1091" s="3" t="s">
        <v>37</v>
      </c>
      <c r="L1091" s="3" t="s">
        <v>5642</v>
      </c>
      <c r="M1091" s="3" t="s">
        <v>78</v>
      </c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>
        <v>6000</v>
      </c>
      <c r="AB1091" s="3">
        <v>3200</v>
      </c>
      <c r="AC1091" s="4">
        <v>43723</v>
      </c>
      <c r="AD1091" s="3" t="s">
        <v>42</v>
      </c>
      <c r="AE1091" s="3" t="s">
        <v>5643</v>
      </c>
      <c r="AF1091" s="3">
        <v>0</v>
      </c>
    </row>
    <row r="1092" spans="1:32" ht="41.95" x14ac:dyDescent="0.3">
      <c r="A1092" s="5">
        <v>1086</v>
      </c>
      <c r="B1092" s="5" t="str">
        <f>"202000057008"</f>
        <v>202000057008</v>
      </c>
      <c r="C1092" s="5" t="str">
        <f>"139741"</f>
        <v>139741</v>
      </c>
      <c r="D1092" s="5" t="s">
        <v>5644</v>
      </c>
      <c r="E1092" s="5">
        <v>20602397492</v>
      </c>
      <c r="F1092" s="5" t="s">
        <v>5645</v>
      </c>
      <c r="G1092" s="5" t="s">
        <v>5646</v>
      </c>
      <c r="H1092" s="5" t="s">
        <v>187</v>
      </c>
      <c r="I1092" s="5" t="s">
        <v>187</v>
      </c>
      <c r="J1092" s="5" t="s">
        <v>357</v>
      </c>
      <c r="K1092" s="5" t="s">
        <v>37</v>
      </c>
      <c r="L1092" s="5" t="s">
        <v>174</v>
      </c>
      <c r="M1092" s="5" t="s">
        <v>174</v>
      </c>
      <c r="N1092" s="5" t="s">
        <v>555</v>
      </c>
      <c r="O1092" s="5" t="s">
        <v>1367</v>
      </c>
      <c r="P1092" s="5" t="s">
        <v>166</v>
      </c>
      <c r="Q1092" s="5" t="s">
        <v>94</v>
      </c>
      <c r="R1092" s="5"/>
      <c r="S1092" s="5"/>
      <c r="T1092" s="5"/>
      <c r="U1092" s="5"/>
      <c r="V1092" s="5"/>
      <c r="W1092" s="5"/>
      <c r="X1092" s="5"/>
      <c r="Y1092" s="5"/>
      <c r="Z1092" s="5"/>
      <c r="AA1092" s="5">
        <v>24000</v>
      </c>
      <c r="AB1092" s="5">
        <v>5000</v>
      </c>
      <c r="AC1092" s="6">
        <v>43967</v>
      </c>
      <c r="AD1092" s="5" t="s">
        <v>42</v>
      </c>
      <c r="AE1092" s="5" t="s">
        <v>5647</v>
      </c>
      <c r="AF1092" s="5">
        <v>720</v>
      </c>
    </row>
    <row r="1093" spans="1:32" ht="27.95" x14ac:dyDescent="0.3">
      <c r="A1093" s="3">
        <v>1087</v>
      </c>
      <c r="B1093" s="3" t="str">
        <f>"201600043260"</f>
        <v>201600043260</v>
      </c>
      <c r="C1093" s="3" t="str">
        <f>"9269"</f>
        <v>9269</v>
      </c>
      <c r="D1093" s="3" t="s">
        <v>5648</v>
      </c>
      <c r="E1093" s="3">
        <v>20503840121</v>
      </c>
      <c r="F1093" s="3" t="s">
        <v>828</v>
      </c>
      <c r="G1093" s="3" t="s">
        <v>5649</v>
      </c>
      <c r="H1093" s="3" t="s">
        <v>89</v>
      </c>
      <c r="I1093" s="3" t="s">
        <v>89</v>
      </c>
      <c r="J1093" s="3" t="s">
        <v>485</v>
      </c>
      <c r="K1093" s="3" t="s">
        <v>37</v>
      </c>
      <c r="L1093" s="3" t="s">
        <v>960</v>
      </c>
      <c r="M1093" s="3" t="s">
        <v>161</v>
      </c>
      <c r="N1093" s="3" t="s">
        <v>63</v>
      </c>
      <c r="O1093" s="3" t="s">
        <v>62</v>
      </c>
      <c r="P1093" s="3" t="s">
        <v>78</v>
      </c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>
        <v>22000</v>
      </c>
      <c r="AB1093" s="3">
        <v>3200</v>
      </c>
      <c r="AC1093" s="4">
        <v>42465</v>
      </c>
      <c r="AD1093" s="3" t="s">
        <v>42</v>
      </c>
      <c r="AE1093" s="3" t="s">
        <v>399</v>
      </c>
      <c r="AF1093" s="3">
        <v>0</v>
      </c>
    </row>
    <row r="1094" spans="1:32" x14ac:dyDescent="0.3">
      <c r="A1094" s="5">
        <v>1088</v>
      </c>
      <c r="B1094" s="5" t="str">
        <f>"201600126290"</f>
        <v>201600126290</v>
      </c>
      <c r="C1094" s="5" t="str">
        <f>"109331"</f>
        <v>109331</v>
      </c>
      <c r="D1094" s="5" t="s">
        <v>5650</v>
      </c>
      <c r="E1094" s="5">
        <v>20491590999</v>
      </c>
      <c r="F1094" s="5" t="s">
        <v>5651</v>
      </c>
      <c r="G1094" s="5" t="s">
        <v>5652</v>
      </c>
      <c r="H1094" s="5" t="s">
        <v>219</v>
      </c>
      <c r="I1094" s="5" t="s">
        <v>568</v>
      </c>
      <c r="J1094" s="5" t="s">
        <v>569</v>
      </c>
      <c r="K1094" s="5" t="s">
        <v>37</v>
      </c>
      <c r="L1094" s="5" t="s">
        <v>5653</v>
      </c>
      <c r="M1094" s="5" t="s">
        <v>49</v>
      </c>
      <c r="N1094" s="5" t="s">
        <v>174</v>
      </c>
      <c r="O1094" s="5" t="s">
        <v>555</v>
      </c>
      <c r="P1094" s="5" t="s">
        <v>94</v>
      </c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>
        <v>24000</v>
      </c>
      <c r="AB1094" s="5">
        <v>5000</v>
      </c>
      <c r="AC1094" s="6">
        <v>42629</v>
      </c>
      <c r="AD1094" s="5" t="s">
        <v>42</v>
      </c>
      <c r="AE1094" s="5" t="s">
        <v>2131</v>
      </c>
      <c r="AF1094" s="5">
        <v>720</v>
      </c>
    </row>
    <row r="1095" spans="1:32" ht="27.95" x14ac:dyDescent="0.3">
      <c r="A1095" s="3">
        <v>1089</v>
      </c>
      <c r="B1095" s="3" t="str">
        <f>"201900060279"</f>
        <v>201900060279</v>
      </c>
      <c r="C1095" s="3" t="str">
        <f>"15415"</f>
        <v>15415</v>
      </c>
      <c r="D1095" s="3" t="s">
        <v>5654</v>
      </c>
      <c r="E1095" s="3">
        <v>20127765279</v>
      </c>
      <c r="F1095" s="3" t="s">
        <v>1115</v>
      </c>
      <c r="G1095" s="3" t="s">
        <v>5655</v>
      </c>
      <c r="H1095" s="3" t="s">
        <v>36</v>
      </c>
      <c r="I1095" s="3" t="s">
        <v>409</v>
      </c>
      <c r="J1095" s="3" t="s">
        <v>409</v>
      </c>
      <c r="K1095" s="3" t="s">
        <v>37</v>
      </c>
      <c r="L1095" s="3" t="s">
        <v>50</v>
      </c>
      <c r="M1095" s="3" t="s">
        <v>51</v>
      </c>
      <c r="N1095" s="3" t="s">
        <v>102</v>
      </c>
      <c r="O1095" s="3" t="s">
        <v>743</v>
      </c>
      <c r="P1095" s="3" t="s">
        <v>78</v>
      </c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>
        <v>20000</v>
      </c>
      <c r="AB1095" s="3">
        <v>3200</v>
      </c>
      <c r="AC1095" s="4">
        <v>43578</v>
      </c>
      <c r="AD1095" s="3" t="s">
        <v>42</v>
      </c>
      <c r="AE1095" s="3" t="s">
        <v>279</v>
      </c>
      <c r="AF1095" s="3">
        <v>480</v>
      </c>
    </row>
    <row r="1096" spans="1:32" ht="27.95" x14ac:dyDescent="0.3">
      <c r="A1096" s="5">
        <v>1090</v>
      </c>
      <c r="B1096" s="5" t="str">
        <f>"201700105423"</f>
        <v>201700105423</v>
      </c>
      <c r="C1096" s="5" t="str">
        <f>"8978"</f>
        <v>8978</v>
      </c>
      <c r="D1096" s="5" t="s">
        <v>5656</v>
      </c>
      <c r="E1096" s="5">
        <v>20558039192</v>
      </c>
      <c r="F1096" s="5" t="s">
        <v>5657</v>
      </c>
      <c r="G1096" s="5" t="s">
        <v>5658</v>
      </c>
      <c r="H1096" s="5" t="s">
        <v>89</v>
      </c>
      <c r="I1096" s="5" t="s">
        <v>89</v>
      </c>
      <c r="J1096" s="5" t="s">
        <v>246</v>
      </c>
      <c r="K1096" s="5" t="s">
        <v>37</v>
      </c>
      <c r="L1096" s="5" t="s">
        <v>102</v>
      </c>
      <c r="M1096" s="5" t="s">
        <v>50</v>
      </c>
      <c r="N1096" s="5" t="s">
        <v>5659</v>
      </c>
      <c r="O1096" s="5" t="s">
        <v>78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>
        <v>13750</v>
      </c>
      <c r="AB1096" s="5">
        <v>3200</v>
      </c>
      <c r="AC1096" s="6">
        <v>42929</v>
      </c>
      <c r="AD1096" s="5" t="s">
        <v>42</v>
      </c>
      <c r="AE1096" s="5" t="s">
        <v>5660</v>
      </c>
      <c r="AF1096" s="5">
        <v>0</v>
      </c>
    </row>
    <row r="1097" spans="1:32" ht="27.95" x14ac:dyDescent="0.3">
      <c r="A1097" s="3">
        <v>1091</v>
      </c>
      <c r="B1097" s="3" t="str">
        <f>"201700077971"</f>
        <v>201700077971</v>
      </c>
      <c r="C1097" s="3" t="str">
        <f>"64500"</f>
        <v>64500</v>
      </c>
      <c r="D1097" s="3" t="s">
        <v>5661</v>
      </c>
      <c r="E1097" s="3">
        <v>20458378747</v>
      </c>
      <c r="F1097" s="3" t="s">
        <v>680</v>
      </c>
      <c r="G1097" s="3" t="s">
        <v>5662</v>
      </c>
      <c r="H1097" s="3" t="s">
        <v>219</v>
      </c>
      <c r="I1097" s="3" t="s">
        <v>220</v>
      </c>
      <c r="J1097" s="3" t="s">
        <v>220</v>
      </c>
      <c r="K1097" s="3" t="s">
        <v>37</v>
      </c>
      <c r="L1097" s="3" t="s">
        <v>173</v>
      </c>
      <c r="M1097" s="3" t="s">
        <v>555</v>
      </c>
      <c r="N1097" s="3" t="s">
        <v>174</v>
      </c>
      <c r="O1097" s="3" t="s">
        <v>886</v>
      </c>
      <c r="P1097" s="3" t="s">
        <v>794</v>
      </c>
      <c r="Q1097" s="3" t="s">
        <v>94</v>
      </c>
      <c r="R1097" s="3"/>
      <c r="S1097" s="3"/>
      <c r="T1097" s="3"/>
      <c r="U1097" s="3"/>
      <c r="V1097" s="3"/>
      <c r="W1097" s="3"/>
      <c r="X1097" s="3"/>
      <c r="Y1097" s="3"/>
      <c r="Z1097" s="3"/>
      <c r="AA1097" s="3">
        <v>14800</v>
      </c>
      <c r="AB1097" s="3">
        <v>5000</v>
      </c>
      <c r="AC1097" s="4">
        <v>42874</v>
      </c>
      <c r="AD1097" s="3" t="s">
        <v>42</v>
      </c>
      <c r="AE1097" s="3" t="s">
        <v>685</v>
      </c>
      <c r="AF1097" s="3">
        <v>720</v>
      </c>
    </row>
    <row r="1098" spans="1:32" ht="41.95" x14ac:dyDescent="0.3">
      <c r="A1098" s="5">
        <v>1092</v>
      </c>
      <c r="B1098" s="5" t="str">
        <f>"201500113253"</f>
        <v>201500113253</v>
      </c>
      <c r="C1098" s="5" t="str">
        <f>"20980"</f>
        <v>20980</v>
      </c>
      <c r="D1098" s="5" t="s">
        <v>5663</v>
      </c>
      <c r="E1098" s="5">
        <v>20500095645</v>
      </c>
      <c r="F1098" s="5" t="s">
        <v>5664</v>
      </c>
      <c r="G1098" s="5" t="s">
        <v>5665</v>
      </c>
      <c r="H1098" s="5" t="s">
        <v>329</v>
      </c>
      <c r="I1098" s="5" t="s">
        <v>329</v>
      </c>
      <c r="J1098" s="5" t="s">
        <v>330</v>
      </c>
      <c r="K1098" s="5" t="s">
        <v>37</v>
      </c>
      <c r="L1098" s="5" t="s">
        <v>380</v>
      </c>
      <c r="M1098" s="5" t="s">
        <v>72</v>
      </c>
      <c r="N1098" s="5" t="s">
        <v>381</v>
      </c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>
        <v>16000</v>
      </c>
      <c r="AB1098" s="5">
        <v>2000</v>
      </c>
      <c r="AC1098" s="6">
        <v>44042</v>
      </c>
      <c r="AD1098" s="5" t="s">
        <v>42</v>
      </c>
      <c r="AE1098" s="5" t="s">
        <v>5666</v>
      </c>
      <c r="AF1098" s="5">
        <v>240</v>
      </c>
    </row>
    <row r="1099" spans="1:32" x14ac:dyDescent="0.3">
      <c r="A1099" s="3">
        <v>1093</v>
      </c>
      <c r="B1099" s="3" t="str">
        <f>"201900204231"</f>
        <v>201900204231</v>
      </c>
      <c r="C1099" s="3" t="str">
        <f>"19945"</f>
        <v>19945</v>
      </c>
      <c r="D1099" s="3" t="s">
        <v>5667</v>
      </c>
      <c r="E1099" s="3">
        <v>20127765279</v>
      </c>
      <c r="F1099" s="3" t="s">
        <v>1115</v>
      </c>
      <c r="G1099" s="3" t="s">
        <v>5668</v>
      </c>
      <c r="H1099" s="3" t="s">
        <v>58</v>
      </c>
      <c r="I1099" s="3" t="s">
        <v>58</v>
      </c>
      <c r="J1099" s="3" t="s">
        <v>58</v>
      </c>
      <c r="K1099" s="3" t="s">
        <v>37</v>
      </c>
      <c r="L1099" s="3" t="s">
        <v>50</v>
      </c>
      <c r="M1099" s="3" t="s">
        <v>51</v>
      </c>
      <c r="N1099" s="3" t="s">
        <v>743</v>
      </c>
      <c r="O1099" s="3" t="s">
        <v>102</v>
      </c>
      <c r="P1099" s="3" t="s">
        <v>324</v>
      </c>
      <c r="Q1099" s="3" t="s">
        <v>103</v>
      </c>
      <c r="R1099" s="3"/>
      <c r="S1099" s="3"/>
      <c r="T1099" s="3"/>
      <c r="U1099" s="3"/>
      <c r="V1099" s="3"/>
      <c r="W1099" s="3"/>
      <c r="X1099" s="3"/>
      <c r="Y1099" s="3"/>
      <c r="Z1099" s="3"/>
      <c r="AA1099" s="3">
        <v>22500</v>
      </c>
      <c r="AB1099" s="3">
        <v>2500</v>
      </c>
      <c r="AC1099" s="4">
        <v>43815</v>
      </c>
      <c r="AD1099" s="3" t="s">
        <v>42</v>
      </c>
      <c r="AE1099" s="3" t="s">
        <v>279</v>
      </c>
      <c r="AF1099" s="3">
        <v>240</v>
      </c>
    </row>
    <row r="1100" spans="1:32" ht="27.95" x14ac:dyDescent="0.3">
      <c r="A1100" s="5">
        <v>1094</v>
      </c>
      <c r="B1100" s="5" t="str">
        <f>"202000073696"</f>
        <v>202000073696</v>
      </c>
      <c r="C1100" s="5" t="str">
        <f>"40426"</f>
        <v>40426</v>
      </c>
      <c r="D1100" s="5" t="s">
        <v>5669</v>
      </c>
      <c r="E1100" s="5">
        <v>20601244145</v>
      </c>
      <c r="F1100" s="5" t="s">
        <v>3189</v>
      </c>
      <c r="G1100" s="5" t="s">
        <v>5670</v>
      </c>
      <c r="H1100" s="5" t="s">
        <v>150</v>
      </c>
      <c r="I1100" s="5" t="s">
        <v>2999</v>
      </c>
      <c r="J1100" s="5" t="s">
        <v>4603</v>
      </c>
      <c r="K1100" s="5" t="s">
        <v>37</v>
      </c>
      <c r="L1100" s="5" t="s">
        <v>166</v>
      </c>
      <c r="M1100" s="5" t="s">
        <v>166</v>
      </c>
      <c r="N1100" s="5" t="s">
        <v>5671</v>
      </c>
      <c r="O1100" s="5" t="s">
        <v>2834</v>
      </c>
      <c r="P1100" s="5" t="s">
        <v>2835</v>
      </c>
      <c r="Q1100" s="5" t="s">
        <v>41</v>
      </c>
      <c r="R1100" s="5"/>
      <c r="S1100" s="5"/>
      <c r="T1100" s="5"/>
      <c r="U1100" s="5"/>
      <c r="V1100" s="5"/>
      <c r="W1100" s="5"/>
      <c r="X1100" s="5"/>
      <c r="Y1100" s="5"/>
      <c r="Z1100" s="5"/>
      <c r="AA1100" s="5">
        <v>50000</v>
      </c>
      <c r="AB1100" s="5">
        <v>10000</v>
      </c>
      <c r="AC1100" s="6">
        <v>44019</v>
      </c>
      <c r="AD1100" s="5" t="s">
        <v>42</v>
      </c>
      <c r="AE1100" s="5" t="s">
        <v>3196</v>
      </c>
      <c r="AF1100" s="5">
        <v>0</v>
      </c>
    </row>
    <row r="1101" spans="1:32" x14ac:dyDescent="0.3">
      <c r="A1101" s="3">
        <v>1095</v>
      </c>
      <c r="B1101" s="3" t="str">
        <f>"202000053707"</f>
        <v>202000053707</v>
      </c>
      <c r="C1101" s="3" t="str">
        <f>"21151"</f>
        <v>21151</v>
      </c>
      <c r="D1101" s="3" t="s">
        <v>5672</v>
      </c>
      <c r="E1101" s="3">
        <v>20175642341</v>
      </c>
      <c r="F1101" s="3" t="s">
        <v>5673</v>
      </c>
      <c r="G1101" s="3" t="s">
        <v>5674</v>
      </c>
      <c r="H1101" s="3" t="s">
        <v>187</v>
      </c>
      <c r="I1101" s="3" t="s">
        <v>260</v>
      </c>
      <c r="J1101" s="3" t="s">
        <v>261</v>
      </c>
      <c r="K1101" s="3" t="s">
        <v>37</v>
      </c>
      <c r="L1101" s="3" t="s">
        <v>5675</v>
      </c>
      <c r="M1101" s="3" t="s">
        <v>4116</v>
      </c>
      <c r="N1101" s="3" t="s">
        <v>862</v>
      </c>
      <c r="O1101" s="3" t="s">
        <v>5676</v>
      </c>
      <c r="P1101" s="3" t="s">
        <v>103</v>
      </c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>
        <v>26500</v>
      </c>
      <c r="AB1101" s="3">
        <v>2500</v>
      </c>
      <c r="AC1101" s="4">
        <v>43952</v>
      </c>
      <c r="AD1101" s="3" t="s">
        <v>42</v>
      </c>
      <c r="AE1101" s="3" t="s">
        <v>5677</v>
      </c>
      <c r="AF1101" s="3">
        <v>0</v>
      </c>
    </row>
    <row r="1102" spans="1:32" x14ac:dyDescent="0.3">
      <c r="A1102" s="5">
        <v>1096</v>
      </c>
      <c r="B1102" s="5" t="str">
        <f>"201500124262"</f>
        <v>201500124262</v>
      </c>
      <c r="C1102" s="5" t="str">
        <f>"8915"</f>
        <v>8915</v>
      </c>
      <c r="D1102" s="5" t="s">
        <v>5678</v>
      </c>
      <c r="E1102" s="5">
        <v>20486850648</v>
      </c>
      <c r="F1102" s="5" t="s">
        <v>5679</v>
      </c>
      <c r="G1102" s="5" t="s">
        <v>5680</v>
      </c>
      <c r="H1102" s="5" t="s">
        <v>108</v>
      </c>
      <c r="I1102" s="5" t="s">
        <v>647</v>
      </c>
      <c r="J1102" s="5" t="s">
        <v>846</v>
      </c>
      <c r="K1102" s="5" t="s">
        <v>37</v>
      </c>
      <c r="L1102" s="5" t="s">
        <v>5287</v>
      </c>
      <c r="M1102" s="5" t="s">
        <v>5287</v>
      </c>
      <c r="N1102" s="5" t="s">
        <v>51</v>
      </c>
      <c r="O1102" s="5" t="s">
        <v>50</v>
      </c>
      <c r="P1102" s="5" t="s">
        <v>5681</v>
      </c>
      <c r="Q1102" s="5" t="s">
        <v>94</v>
      </c>
      <c r="R1102" s="5"/>
      <c r="S1102" s="5"/>
      <c r="T1102" s="5"/>
      <c r="U1102" s="5"/>
      <c r="V1102" s="5"/>
      <c r="W1102" s="5"/>
      <c r="X1102" s="5"/>
      <c r="Y1102" s="5"/>
      <c r="Z1102" s="5"/>
      <c r="AA1102" s="5">
        <v>21100</v>
      </c>
      <c r="AB1102" s="5">
        <v>5000</v>
      </c>
      <c r="AC1102" s="6">
        <v>42264</v>
      </c>
      <c r="AD1102" s="5" t="s">
        <v>42</v>
      </c>
      <c r="AE1102" s="5" t="s">
        <v>5682</v>
      </c>
      <c r="AF1102" s="5">
        <v>0</v>
      </c>
    </row>
    <row r="1103" spans="1:32" ht="41.95" x14ac:dyDescent="0.3">
      <c r="A1103" s="3">
        <v>1097</v>
      </c>
      <c r="B1103" s="3" t="str">
        <f>"201900193319"</f>
        <v>201900193319</v>
      </c>
      <c r="C1103" s="3" t="str">
        <f>"127395"</f>
        <v>127395</v>
      </c>
      <c r="D1103" s="3" t="s">
        <v>5683</v>
      </c>
      <c r="E1103" s="3">
        <v>20100111838</v>
      </c>
      <c r="F1103" s="3" t="s">
        <v>2779</v>
      </c>
      <c r="G1103" s="3" t="s">
        <v>5684</v>
      </c>
      <c r="H1103" s="3" t="s">
        <v>58</v>
      </c>
      <c r="I1103" s="3" t="s">
        <v>1108</v>
      </c>
      <c r="J1103" s="3" t="s">
        <v>1850</v>
      </c>
      <c r="K1103" s="3" t="s">
        <v>37</v>
      </c>
      <c r="L1103" s="3" t="s">
        <v>438</v>
      </c>
      <c r="M1103" s="3" t="s">
        <v>5685</v>
      </c>
      <c r="N1103" s="3" t="s">
        <v>103</v>
      </c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>
        <v>12000</v>
      </c>
      <c r="AB1103" s="3">
        <v>2500</v>
      </c>
      <c r="AC1103" s="4">
        <v>43795</v>
      </c>
      <c r="AD1103" s="3" t="s">
        <v>42</v>
      </c>
      <c r="AE1103" s="3" t="s">
        <v>2781</v>
      </c>
      <c r="AF1103" s="3">
        <v>0</v>
      </c>
    </row>
    <row r="1104" spans="1:32" ht="41.95" x14ac:dyDescent="0.3">
      <c r="A1104" s="5">
        <v>1098</v>
      </c>
      <c r="B1104" s="5" t="str">
        <f>"201700074743"</f>
        <v>201700074743</v>
      </c>
      <c r="C1104" s="5" t="str">
        <f>"35408"</f>
        <v>35408</v>
      </c>
      <c r="D1104" s="5" t="s">
        <v>5686</v>
      </c>
      <c r="E1104" s="5">
        <v>20514303283</v>
      </c>
      <c r="F1104" s="5" t="s">
        <v>4969</v>
      </c>
      <c r="G1104" s="5" t="s">
        <v>5687</v>
      </c>
      <c r="H1104" s="5" t="s">
        <v>58</v>
      </c>
      <c r="I1104" s="5" t="s">
        <v>58</v>
      </c>
      <c r="J1104" s="5" t="s">
        <v>99</v>
      </c>
      <c r="K1104" s="5" t="s">
        <v>37</v>
      </c>
      <c r="L1104" s="5" t="s">
        <v>102</v>
      </c>
      <c r="M1104" s="5" t="s">
        <v>398</v>
      </c>
      <c r="N1104" s="5" t="s">
        <v>50</v>
      </c>
      <c r="O1104" s="5" t="s">
        <v>74</v>
      </c>
      <c r="P1104" s="5" t="s">
        <v>381</v>
      </c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>
        <v>16000</v>
      </c>
      <c r="AB1104" s="5">
        <v>2000</v>
      </c>
      <c r="AC1104" s="6">
        <v>42885</v>
      </c>
      <c r="AD1104" s="5" t="s">
        <v>42</v>
      </c>
      <c r="AE1104" s="5" t="s">
        <v>4972</v>
      </c>
      <c r="AF1104" s="5">
        <v>0</v>
      </c>
    </row>
    <row r="1105" spans="1:32" ht="27.95" x14ac:dyDescent="0.3">
      <c r="A1105" s="3">
        <v>1099</v>
      </c>
      <c r="B1105" s="3" t="str">
        <f>"201600083675"</f>
        <v>201600083675</v>
      </c>
      <c r="C1105" s="3" t="str">
        <f>"34080"</f>
        <v>34080</v>
      </c>
      <c r="D1105" s="3" t="s">
        <v>5688</v>
      </c>
      <c r="E1105" s="3">
        <v>10311660140</v>
      </c>
      <c r="F1105" s="3" t="s">
        <v>5689</v>
      </c>
      <c r="G1105" s="3" t="s">
        <v>5690</v>
      </c>
      <c r="H1105" s="3" t="s">
        <v>5691</v>
      </c>
      <c r="I1105" s="3" t="s">
        <v>5692</v>
      </c>
      <c r="J1105" s="3" t="s">
        <v>5692</v>
      </c>
      <c r="K1105" s="3" t="s">
        <v>37</v>
      </c>
      <c r="L1105" s="3" t="s">
        <v>63</v>
      </c>
      <c r="M1105" s="3" t="s">
        <v>63</v>
      </c>
      <c r="N1105" s="3" t="s">
        <v>5693</v>
      </c>
      <c r="O1105" s="3" t="s">
        <v>154</v>
      </c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>
        <v>18000</v>
      </c>
      <c r="AB1105" s="3">
        <v>6000</v>
      </c>
      <c r="AC1105" s="4">
        <v>42541</v>
      </c>
      <c r="AD1105" s="3" t="s">
        <v>42</v>
      </c>
      <c r="AE1105" s="3" t="s">
        <v>5689</v>
      </c>
      <c r="AF1105" s="3">
        <v>720</v>
      </c>
    </row>
    <row r="1106" spans="1:32" x14ac:dyDescent="0.3">
      <c r="A1106" s="5">
        <v>1100</v>
      </c>
      <c r="B1106" s="5" t="str">
        <f>"201700074744"</f>
        <v>201700074744</v>
      </c>
      <c r="C1106" s="5" t="str">
        <f>"6810"</f>
        <v>6810</v>
      </c>
      <c r="D1106" s="5" t="s">
        <v>5694</v>
      </c>
      <c r="E1106" s="5">
        <v>20514303283</v>
      </c>
      <c r="F1106" s="5" t="s">
        <v>4969</v>
      </c>
      <c r="G1106" s="5" t="s">
        <v>5695</v>
      </c>
      <c r="H1106" s="5" t="s">
        <v>58</v>
      </c>
      <c r="I1106" s="5" t="s">
        <v>58</v>
      </c>
      <c r="J1106" s="5" t="s">
        <v>99</v>
      </c>
      <c r="K1106" s="5" t="s">
        <v>37</v>
      </c>
      <c r="L1106" s="5" t="s">
        <v>263</v>
      </c>
      <c r="M1106" s="5" t="s">
        <v>161</v>
      </c>
      <c r="N1106" s="5" t="s">
        <v>63</v>
      </c>
      <c r="O1106" s="5" t="s">
        <v>63</v>
      </c>
      <c r="P1106" s="5" t="s">
        <v>775</v>
      </c>
      <c r="Q1106" s="5" t="s">
        <v>381</v>
      </c>
      <c r="R1106" s="5"/>
      <c r="S1106" s="5"/>
      <c r="T1106" s="5"/>
      <c r="U1106" s="5"/>
      <c r="V1106" s="5"/>
      <c r="W1106" s="5"/>
      <c r="X1106" s="5"/>
      <c r="Y1106" s="5"/>
      <c r="Z1106" s="5"/>
      <c r="AA1106" s="5">
        <v>30000</v>
      </c>
      <c r="AB1106" s="5">
        <v>2000</v>
      </c>
      <c r="AC1106" s="6">
        <v>42895</v>
      </c>
      <c r="AD1106" s="5" t="s">
        <v>42</v>
      </c>
      <c r="AE1106" s="5" t="s">
        <v>4972</v>
      </c>
      <c r="AF1106" s="5">
        <v>0</v>
      </c>
    </row>
    <row r="1107" spans="1:32" ht="27.95" x14ac:dyDescent="0.3">
      <c r="A1107" s="3">
        <v>1101</v>
      </c>
      <c r="B1107" s="3" t="str">
        <f>"201900074847"</f>
        <v>201900074847</v>
      </c>
      <c r="C1107" s="3" t="str">
        <f>"137892"</f>
        <v>137892</v>
      </c>
      <c r="D1107" s="3" t="s">
        <v>5696</v>
      </c>
      <c r="E1107" s="3">
        <v>20521396271</v>
      </c>
      <c r="F1107" s="3" t="s">
        <v>1884</v>
      </c>
      <c r="G1107" s="3" t="s">
        <v>5697</v>
      </c>
      <c r="H1107" s="3" t="s">
        <v>329</v>
      </c>
      <c r="I1107" s="3" t="s">
        <v>329</v>
      </c>
      <c r="J1107" s="3" t="s">
        <v>330</v>
      </c>
      <c r="K1107" s="3" t="s">
        <v>37</v>
      </c>
      <c r="L1107" s="3" t="s">
        <v>110</v>
      </c>
      <c r="M1107" s="3" t="s">
        <v>1007</v>
      </c>
      <c r="N1107" s="3" t="s">
        <v>4091</v>
      </c>
      <c r="O1107" s="3" t="s">
        <v>54</v>
      </c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>
        <v>11000</v>
      </c>
      <c r="AB1107" s="3">
        <v>4000</v>
      </c>
      <c r="AC1107" s="4">
        <v>43601</v>
      </c>
      <c r="AD1107" s="3" t="s">
        <v>42</v>
      </c>
      <c r="AE1107" s="3" t="s">
        <v>1888</v>
      </c>
      <c r="AF1107" s="3">
        <v>0</v>
      </c>
    </row>
    <row r="1108" spans="1:32" x14ac:dyDescent="0.3">
      <c r="A1108" s="5">
        <v>1102</v>
      </c>
      <c r="B1108" s="5" t="str">
        <f>"201800140604"</f>
        <v>201800140604</v>
      </c>
      <c r="C1108" s="5" t="str">
        <f>"35892"</f>
        <v>35892</v>
      </c>
      <c r="D1108" s="5" t="s">
        <v>5698</v>
      </c>
      <c r="E1108" s="5">
        <v>20503840121</v>
      </c>
      <c r="F1108" s="5" t="s">
        <v>855</v>
      </c>
      <c r="G1108" s="5" t="s">
        <v>5699</v>
      </c>
      <c r="H1108" s="5" t="s">
        <v>108</v>
      </c>
      <c r="I1108" s="5" t="s">
        <v>647</v>
      </c>
      <c r="J1108" s="5" t="s">
        <v>1117</v>
      </c>
      <c r="K1108" s="5" t="s">
        <v>37</v>
      </c>
      <c r="L1108" s="5" t="s">
        <v>5700</v>
      </c>
      <c r="M1108" s="5" t="s">
        <v>5701</v>
      </c>
      <c r="N1108" s="5" t="s">
        <v>5702</v>
      </c>
      <c r="O1108" s="5" t="s">
        <v>5700</v>
      </c>
      <c r="P1108" s="5" t="s">
        <v>94</v>
      </c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>
        <v>24550</v>
      </c>
      <c r="AB1108" s="5">
        <v>5000</v>
      </c>
      <c r="AC1108" s="6">
        <v>43335</v>
      </c>
      <c r="AD1108" s="5" t="s">
        <v>42</v>
      </c>
      <c r="AE1108" s="5" t="s">
        <v>858</v>
      </c>
      <c r="AF1108" s="5">
        <v>0</v>
      </c>
    </row>
    <row r="1109" spans="1:32" x14ac:dyDescent="0.3">
      <c r="A1109" s="3">
        <v>1103</v>
      </c>
      <c r="B1109" s="3" t="str">
        <f>"201800154649"</f>
        <v>201800154649</v>
      </c>
      <c r="C1109" s="3" t="str">
        <f>"33266"</f>
        <v>33266</v>
      </c>
      <c r="D1109" s="3" t="s">
        <v>5703</v>
      </c>
      <c r="E1109" s="3">
        <v>10269456839</v>
      </c>
      <c r="F1109" s="3" t="s">
        <v>5704</v>
      </c>
      <c r="G1109" s="3" t="s">
        <v>5705</v>
      </c>
      <c r="H1109" s="3" t="s">
        <v>134</v>
      </c>
      <c r="I1109" s="3" t="s">
        <v>5706</v>
      </c>
      <c r="J1109" s="3" t="s">
        <v>5706</v>
      </c>
      <c r="K1109" s="3" t="s">
        <v>37</v>
      </c>
      <c r="L1109" s="3" t="s">
        <v>277</v>
      </c>
      <c r="M1109" s="3" t="s">
        <v>285</v>
      </c>
      <c r="N1109" s="3" t="s">
        <v>72</v>
      </c>
      <c r="O1109" s="3" t="s">
        <v>5707</v>
      </c>
      <c r="P1109" s="3" t="s">
        <v>4737</v>
      </c>
      <c r="Q1109" s="3" t="s">
        <v>748</v>
      </c>
      <c r="R1109" s="3" t="s">
        <v>2400</v>
      </c>
      <c r="S1109" s="3" t="s">
        <v>154</v>
      </c>
      <c r="T1109" s="3"/>
      <c r="U1109" s="3"/>
      <c r="V1109" s="3"/>
      <c r="W1109" s="3"/>
      <c r="X1109" s="3"/>
      <c r="Y1109" s="3"/>
      <c r="Z1109" s="3"/>
      <c r="AA1109" s="3">
        <v>34600</v>
      </c>
      <c r="AB1109" s="3">
        <v>6000</v>
      </c>
      <c r="AC1109" s="4">
        <v>43371</v>
      </c>
      <c r="AD1109" s="3" t="s">
        <v>42</v>
      </c>
      <c r="AE1109" s="3" t="s">
        <v>5704</v>
      </c>
      <c r="AF1109" s="3">
        <v>240</v>
      </c>
    </row>
    <row r="1110" spans="1:32" ht="27.95" x14ac:dyDescent="0.3">
      <c r="A1110" s="5">
        <v>1104</v>
      </c>
      <c r="B1110" s="5" t="str">
        <f>"201900021683"</f>
        <v>201900021683</v>
      </c>
      <c r="C1110" s="5" t="str">
        <f>"8977"</f>
        <v>8977</v>
      </c>
      <c r="D1110" s="5" t="s">
        <v>5708</v>
      </c>
      <c r="E1110" s="5">
        <v>20489333512</v>
      </c>
      <c r="F1110" s="5" t="s">
        <v>5709</v>
      </c>
      <c r="G1110" s="5" t="s">
        <v>5710</v>
      </c>
      <c r="H1110" s="5" t="s">
        <v>125</v>
      </c>
      <c r="I1110" s="5" t="s">
        <v>125</v>
      </c>
      <c r="J1110" s="5" t="s">
        <v>125</v>
      </c>
      <c r="K1110" s="5" t="s">
        <v>37</v>
      </c>
      <c r="L1110" s="5" t="s">
        <v>63</v>
      </c>
      <c r="M1110" s="5" t="s">
        <v>3256</v>
      </c>
      <c r="N1110" s="5" t="s">
        <v>94</v>
      </c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>
        <v>12000</v>
      </c>
      <c r="AB1110" s="5">
        <v>5000</v>
      </c>
      <c r="AC1110" s="6">
        <v>43509</v>
      </c>
      <c r="AD1110" s="5" t="s">
        <v>42</v>
      </c>
      <c r="AE1110" s="5" t="s">
        <v>5711</v>
      </c>
      <c r="AF1110" s="5">
        <v>720</v>
      </c>
    </row>
    <row r="1111" spans="1:32" ht="27.95" x14ac:dyDescent="0.3">
      <c r="A1111" s="3">
        <v>1105</v>
      </c>
      <c r="B1111" s="3" t="str">
        <f>"201900040326"</f>
        <v>201900040326</v>
      </c>
      <c r="C1111" s="3" t="str">
        <f>"9018"</f>
        <v>9018</v>
      </c>
      <c r="D1111" s="3" t="s">
        <v>5712</v>
      </c>
      <c r="E1111" s="3">
        <v>20458378747</v>
      </c>
      <c r="F1111" s="3" t="s">
        <v>5713</v>
      </c>
      <c r="G1111" s="3" t="s">
        <v>5714</v>
      </c>
      <c r="H1111" s="3" t="s">
        <v>219</v>
      </c>
      <c r="I1111" s="3" t="s">
        <v>568</v>
      </c>
      <c r="J1111" s="3" t="s">
        <v>928</v>
      </c>
      <c r="K1111" s="3" t="s">
        <v>37</v>
      </c>
      <c r="L1111" s="3" t="s">
        <v>5715</v>
      </c>
      <c r="M1111" s="3" t="s">
        <v>5716</v>
      </c>
      <c r="N1111" s="3" t="s">
        <v>78</v>
      </c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>
        <v>6000</v>
      </c>
      <c r="AB1111" s="3">
        <v>3200</v>
      </c>
      <c r="AC1111" s="4">
        <v>43551</v>
      </c>
      <c r="AD1111" s="3" t="s">
        <v>42</v>
      </c>
      <c r="AE1111" s="3" t="s">
        <v>685</v>
      </c>
      <c r="AF1111" s="3">
        <v>0</v>
      </c>
    </row>
    <row r="1112" spans="1:32" ht="27.95" x14ac:dyDescent="0.3">
      <c r="A1112" s="5">
        <v>1106</v>
      </c>
      <c r="B1112" s="5" t="str">
        <f>"201700048558"</f>
        <v>201700048558</v>
      </c>
      <c r="C1112" s="5" t="str">
        <f>"93611"</f>
        <v>93611</v>
      </c>
      <c r="D1112" s="5" t="s">
        <v>5717</v>
      </c>
      <c r="E1112" s="5">
        <v>20479636304</v>
      </c>
      <c r="F1112" s="5" t="s">
        <v>5718</v>
      </c>
      <c r="G1112" s="5" t="s">
        <v>5719</v>
      </c>
      <c r="H1112" s="5" t="s">
        <v>134</v>
      </c>
      <c r="I1112" s="5" t="s">
        <v>135</v>
      </c>
      <c r="J1112" s="5" t="s">
        <v>135</v>
      </c>
      <c r="K1112" s="5" t="s">
        <v>37</v>
      </c>
      <c r="L1112" s="5" t="s">
        <v>387</v>
      </c>
      <c r="M1112" s="5" t="s">
        <v>51</v>
      </c>
      <c r="N1112" s="5" t="s">
        <v>5720</v>
      </c>
      <c r="O1112" s="5" t="s">
        <v>94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>
        <v>19000</v>
      </c>
      <c r="AB1112" s="5">
        <v>5000</v>
      </c>
      <c r="AC1112" s="6">
        <v>42835</v>
      </c>
      <c r="AD1112" s="5" t="s">
        <v>42</v>
      </c>
      <c r="AE1112" s="5" t="s">
        <v>5721</v>
      </c>
      <c r="AF1112" s="5">
        <v>0</v>
      </c>
    </row>
    <row r="1113" spans="1:32" x14ac:dyDescent="0.3">
      <c r="A1113" s="3">
        <v>1107</v>
      </c>
      <c r="B1113" s="3" t="str">
        <f>"202000106833"</f>
        <v>202000106833</v>
      </c>
      <c r="C1113" s="3" t="str">
        <f>"149262"</f>
        <v>149262</v>
      </c>
      <c r="D1113" s="3" t="s">
        <v>5722</v>
      </c>
      <c r="E1113" s="3">
        <v>20602840833</v>
      </c>
      <c r="F1113" s="3" t="s">
        <v>5243</v>
      </c>
      <c r="G1113" s="3" t="s">
        <v>5723</v>
      </c>
      <c r="H1113" s="3" t="s">
        <v>108</v>
      </c>
      <c r="I1113" s="3" t="s">
        <v>1468</v>
      </c>
      <c r="J1113" s="3" t="s">
        <v>5724</v>
      </c>
      <c r="K1113" s="3" t="s">
        <v>37</v>
      </c>
      <c r="L1113" s="3" t="s">
        <v>174</v>
      </c>
      <c r="M1113" s="3" t="s">
        <v>171</v>
      </c>
      <c r="N1113" s="3" t="s">
        <v>102</v>
      </c>
      <c r="O1113" s="3" t="s">
        <v>102</v>
      </c>
      <c r="P1113" s="3" t="s">
        <v>102</v>
      </c>
      <c r="Q1113" s="3" t="s">
        <v>94</v>
      </c>
      <c r="R1113" s="3"/>
      <c r="S1113" s="3"/>
      <c r="T1113" s="3"/>
      <c r="U1113" s="3"/>
      <c r="V1113" s="3"/>
      <c r="W1113" s="3"/>
      <c r="X1113" s="3"/>
      <c r="Y1113" s="3"/>
      <c r="Z1113" s="3"/>
      <c r="AA1113" s="3">
        <v>23000</v>
      </c>
      <c r="AB1113" s="3">
        <v>5000</v>
      </c>
      <c r="AC1113" s="4">
        <v>44069</v>
      </c>
      <c r="AD1113" s="3" t="s">
        <v>42</v>
      </c>
      <c r="AE1113" s="3" t="s">
        <v>5725</v>
      </c>
      <c r="AF1113" s="3">
        <v>0</v>
      </c>
    </row>
    <row r="1114" spans="1:32" x14ac:dyDescent="0.3">
      <c r="A1114" s="5">
        <v>1108</v>
      </c>
      <c r="B1114" s="5" t="str">
        <f>"201900068062"</f>
        <v>201900068062</v>
      </c>
      <c r="C1114" s="5" t="str">
        <f>"15232"</f>
        <v>15232</v>
      </c>
      <c r="D1114" s="5" t="s">
        <v>5726</v>
      </c>
      <c r="E1114" s="5">
        <v>10164464321</v>
      </c>
      <c r="F1114" s="5" t="s">
        <v>1488</v>
      </c>
      <c r="G1114" s="5" t="s">
        <v>5727</v>
      </c>
      <c r="H1114" s="5" t="s">
        <v>36</v>
      </c>
      <c r="I1114" s="5" t="s">
        <v>409</v>
      </c>
      <c r="J1114" s="5" t="s">
        <v>410</v>
      </c>
      <c r="K1114" s="5" t="s">
        <v>37</v>
      </c>
      <c r="L1114" s="5" t="s">
        <v>172</v>
      </c>
      <c r="M1114" s="5" t="s">
        <v>285</v>
      </c>
      <c r="N1114" s="5" t="s">
        <v>74</v>
      </c>
      <c r="O1114" s="5" t="s">
        <v>78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>
        <v>11000</v>
      </c>
      <c r="AB1114" s="5">
        <v>3200</v>
      </c>
      <c r="AC1114" s="6">
        <v>43592</v>
      </c>
      <c r="AD1114" s="5" t="s">
        <v>42</v>
      </c>
      <c r="AE1114" s="5" t="s">
        <v>1488</v>
      </c>
      <c r="AF1114" s="5">
        <v>240</v>
      </c>
    </row>
    <row r="1115" spans="1:32" ht="27.95" x14ac:dyDescent="0.3">
      <c r="A1115" s="3">
        <v>1109</v>
      </c>
      <c r="B1115" s="3" t="str">
        <f>"201900135192"</f>
        <v>201900135192</v>
      </c>
      <c r="C1115" s="3" t="str">
        <f>"44489"</f>
        <v>44489</v>
      </c>
      <c r="D1115" s="3" t="s">
        <v>5728</v>
      </c>
      <c r="E1115" s="3">
        <v>20549413316</v>
      </c>
      <c r="F1115" s="3" t="s">
        <v>5729</v>
      </c>
      <c r="G1115" s="3" t="s">
        <v>5730</v>
      </c>
      <c r="H1115" s="3" t="s">
        <v>329</v>
      </c>
      <c r="I1115" s="3" t="s">
        <v>329</v>
      </c>
      <c r="J1115" s="3" t="s">
        <v>1546</v>
      </c>
      <c r="K1115" s="3" t="s">
        <v>37</v>
      </c>
      <c r="L1115" s="3" t="s">
        <v>5731</v>
      </c>
      <c r="M1115" s="3" t="s">
        <v>5732</v>
      </c>
      <c r="N1115" s="3" t="s">
        <v>5733</v>
      </c>
      <c r="O1115" s="3" t="s">
        <v>120</v>
      </c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>
        <v>6138</v>
      </c>
      <c r="AB1115" s="3">
        <v>3500</v>
      </c>
      <c r="AC1115" s="4">
        <v>43701</v>
      </c>
      <c r="AD1115" s="3" t="s">
        <v>42</v>
      </c>
      <c r="AE1115" s="3" t="s">
        <v>5734</v>
      </c>
      <c r="AF1115" s="3">
        <v>720</v>
      </c>
    </row>
    <row r="1116" spans="1:32" x14ac:dyDescent="0.3">
      <c r="A1116" s="5">
        <v>1110</v>
      </c>
      <c r="B1116" s="5" t="str">
        <f>"201400053287"</f>
        <v>201400053287</v>
      </c>
      <c r="C1116" s="5" t="str">
        <f>"108778"</f>
        <v>108778</v>
      </c>
      <c r="D1116" s="5" t="s">
        <v>5735</v>
      </c>
      <c r="E1116" s="5">
        <v>20539554957</v>
      </c>
      <c r="F1116" s="5" t="s">
        <v>5736</v>
      </c>
      <c r="G1116" s="5" t="s">
        <v>5737</v>
      </c>
      <c r="H1116" s="5" t="s">
        <v>89</v>
      </c>
      <c r="I1116" s="5" t="s">
        <v>2084</v>
      </c>
      <c r="J1116" s="5" t="s">
        <v>2085</v>
      </c>
      <c r="K1116" s="5" t="s">
        <v>37</v>
      </c>
      <c r="L1116" s="5" t="s">
        <v>5738</v>
      </c>
      <c r="M1116" s="5" t="s">
        <v>5739</v>
      </c>
      <c r="N1116" s="5" t="s">
        <v>5740</v>
      </c>
      <c r="O1116" s="5" t="s">
        <v>5741</v>
      </c>
      <c r="P1116" s="5" t="s">
        <v>94</v>
      </c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>
        <v>16440</v>
      </c>
      <c r="AB1116" s="5">
        <v>5000</v>
      </c>
      <c r="AC1116" s="6">
        <v>41766</v>
      </c>
      <c r="AD1116" s="5" t="s">
        <v>42</v>
      </c>
      <c r="AE1116" s="5" t="s">
        <v>5742</v>
      </c>
      <c r="AF1116" s="5">
        <v>0</v>
      </c>
    </row>
    <row r="1117" spans="1:32" ht="27.95" x14ac:dyDescent="0.3">
      <c r="A1117" s="3">
        <v>1111</v>
      </c>
      <c r="B1117" s="3" t="str">
        <f>"1490466"</f>
        <v>1490466</v>
      </c>
      <c r="C1117" s="3" t="str">
        <f>"40432"</f>
        <v>40432</v>
      </c>
      <c r="D1117" s="3" t="s">
        <v>5743</v>
      </c>
      <c r="E1117" s="3">
        <v>20534267437</v>
      </c>
      <c r="F1117" s="3" t="s">
        <v>3462</v>
      </c>
      <c r="G1117" s="3" t="s">
        <v>5744</v>
      </c>
      <c r="H1117" s="3" t="s">
        <v>47</v>
      </c>
      <c r="I1117" s="3" t="s">
        <v>47</v>
      </c>
      <c r="J1117" s="3" t="s">
        <v>47</v>
      </c>
      <c r="K1117" s="3" t="s">
        <v>37</v>
      </c>
      <c r="L1117" s="3" t="s">
        <v>1387</v>
      </c>
      <c r="M1117" s="3" t="s">
        <v>5745</v>
      </c>
      <c r="N1117" s="3" t="s">
        <v>78</v>
      </c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>
        <v>8000</v>
      </c>
      <c r="AB1117" s="3">
        <v>3200</v>
      </c>
      <c r="AC1117" s="4">
        <v>40749</v>
      </c>
      <c r="AD1117" s="3" t="s">
        <v>42</v>
      </c>
      <c r="AE1117" s="3" t="s">
        <v>3465</v>
      </c>
      <c r="AF1117" s="3">
        <v>0</v>
      </c>
    </row>
    <row r="1118" spans="1:32" ht="27.95" x14ac:dyDescent="0.3">
      <c r="A1118" s="5">
        <v>1112</v>
      </c>
      <c r="B1118" s="5" t="str">
        <f>"201700132606"</f>
        <v>201700132606</v>
      </c>
      <c r="C1118" s="5" t="str">
        <f>"131254"</f>
        <v>131254</v>
      </c>
      <c r="D1118" s="5" t="s">
        <v>5746</v>
      </c>
      <c r="E1118" s="5">
        <v>20602298877</v>
      </c>
      <c r="F1118" s="5" t="s">
        <v>5747</v>
      </c>
      <c r="G1118" s="5" t="s">
        <v>5748</v>
      </c>
      <c r="H1118" s="5" t="s">
        <v>58</v>
      </c>
      <c r="I1118" s="5" t="s">
        <v>1108</v>
      </c>
      <c r="J1118" s="5" t="s">
        <v>5584</v>
      </c>
      <c r="K1118" s="5" t="s">
        <v>37</v>
      </c>
      <c r="L1118" s="5" t="s">
        <v>102</v>
      </c>
      <c r="M1118" s="5" t="s">
        <v>74</v>
      </c>
      <c r="N1118" s="5" t="s">
        <v>555</v>
      </c>
      <c r="O1118" s="5" t="s">
        <v>319</v>
      </c>
      <c r="P1118" s="5" t="s">
        <v>1163</v>
      </c>
      <c r="Q1118" s="5" t="s">
        <v>78</v>
      </c>
      <c r="R1118" s="5"/>
      <c r="S1118" s="5"/>
      <c r="T1118" s="5"/>
      <c r="U1118" s="5"/>
      <c r="V1118" s="5"/>
      <c r="W1118" s="5"/>
      <c r="X1118" s="5"/>
      <c r="Y1118" s="5"/>
      <c r="Z1118" s="5"/>
      <c r="AA1118" s="5">
        <v>14500</v>
      </c>
      <c r="AB1118" s="5">
        <v>3200</v>
      </c>
      <c r="AC1118" s="6">
        <v>42969</v>
      </c>
      <c r="AD1118" s="5" t="s">
        <v>42</v>
      </c>
      <c r="AE1118" s="5" t="s">
        <v>5749</v>
      </c>
      <c r="AF1118" s="5">
        <v>720</v>
      </c>
    </row>
    <row r="1119" spans="1:32" ht="27.95" x14ac:dyDescent="0.3">
      <c r="A1119" s="3">
        <v>1113</v>
      </c>
      <c r="B1119" s="3" t="str">
        <f>"201800190111"</f>
        <v>201800190111</v>
      </c>
      <c r="C1119" s="3" t="str">
        <f>"136870"</f>
        <v>136870</v>
      </c>
      <c r="D1119" s="3" t="s">
        <v>5750</v>
      </c>
      <c r="E1119" s="3">
        <v>20602295851</v>
      </c>
      <c r="F1119" s="3" t="s">
        <v>5496</v>
      </c>
      <c r="G1119" s="3" t="s">
        <v>5751</v>
      </c>
      <c r="H1119" s="3" t="s">
        <v>116</v>
      </c>
      <c r="I1119" s="3" t="s">
        <v>339</v>
      </c>
      <c r="J1119" s="3" t="s">
        <v>340</v>
      </c>
      <c r="K1119" s="3" t="s">
        <v>37</v>
      </c>
      <c r="L1119" s="3" t="s">
        <v>5752</v>
      </c>
      <c r="M1119" s="3" t="s">
        <v>5753</v>
      </c>
      <c r="N1119" s="3" t="s">
        <v>94</v>
      </c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>
        <v>8750</v>
      </c>
      <c r="AB1119" s="3">
        <v>5000</v>
      </c>
      <c r="AC1119" s="4">
        <v>43423</v>
      </c>
      <c r="AD1119" s="3" t="s">
        <v>42</v>
      </c>
      <c r="AE1119" s="3" t="s">
        <v>271</v>
      </c>
      <c r="AF1119" s="3">
        <v>0</v>
      </c>
    </row>
    <row r="1120" spans="1:32" ht="27.95" x14ac:dyDescent="0.3">
      <c r="A1120" s="5">
        <v>1114</v>
      </c>
      <c r="B1120" s="5" t="str">
        <f>"201800143594"</f>
        <v>201800143594</v>
      </c>
      <c r="C1120" s="5" t="str">
        <f>"34801"</f>
        <v>34801</v>
      </c>
      <c r="D1120" s="5" t="s">
        <v>5754</v>
      </c>
      <c r="E1120" s="5">
        <v>20503089794</v>
      </c>
      <c r="F1120" s="5" t="s">
        <v>5755</v>
      </c>
      <c r="G1120" s="5" t="s">
        <v>5756</v>
      </c>
      <c r="H1120" s="5" t="s">
        <v>58</v>
      </c>
      <c r="I1120" s="5" t="s">
        <v>58</v>
      </c>
      <c r="J1120" s="5" t="s">
        <v>1091</v>
      </c>
      <c r="K1120" s="5" t="s">
        <v>37</v>
      </c>
      <c r="L1120" s="5" t="s">
        <v>102</v>
      </c>
      <c r="M1120" s="5" t="s">
        <v>5757</v>
      </c>
      <c r="N1120" s="5" t="s">
        <v>3654</v>
      </c>
      <c r="O1120" s="5" t="s">
        <v>5758</v>
      </c>
      <c r="P1120" s="5" t="s">
        <v>72</v>
      </c>
      <c r="Q1120" s="5" t="s">
        <v>347</v>
      </c>
      <c r="R1120" s="5"/>
      <c r="S1120" s="5"/>
      <c r="T1120" s="5"/>
      <c r="U1120" s="5"/>
      <c r="V1120" s="5"/>
      <c r="W1120" s="5"/>
      <c r="X1120" s="5"/>
      <c r="Y1120" s="5"/>
      <c r="Z1120" s="5"/>
      <c r="AA1120" s="5">
        <v>17800</v>
      </c>
      <c r="AB1120" s="5">
        <v>3100</v>
      </c>
      <c r="AC1120" s="6">
        <v>43348</v>
      </c>
      <c r="AD1120" s="5" t="s">
        <v>42</v>
      </c>
      <c r="AE1120" s="5" t="s">
        <v>5759</v>
      </c>
      <c r="AF1120" s="5">
        <v>720</v>
      </c>
    </row>
    <row r="1121" spans="1:32" ht="27.95" x14ac:dyDescent="0.3">
      <c r="A1121" s="3">
        <v>1115</v>
      </c>
      <c r="B1121" s="3" t="str">
        <f>"201900060258"</f>
        <v>201900060258</v>
      </c>
      <c r="C1121" s="3" t="str">
        <f>"42912"</f>
        <v>42912</v>
      </c>
      <c r="D1121" s="3" t="s">
        <v>5760</v>
      </c>
      <c r="E1121" s="3">
        <v>20127765279</v>
      </c>
      <c r="F1121" s="3" t="s">
        <v>1115</v>
      </c>
      <c r="G1121" s="3" t="s">
        <v>5761</v>
      </c>
      <c r="H1121" s="3" t="s">
        <v>36</v>
      </c>
      <c r="I1121" s="3" t="s">
        <v>36</v>
      </c>
      <c r="J1121" s="3" t="s">
        <v>36</v>
      </c>
      <c r="K1121" s="3" t="s">
        <v>37</v>
      </c>
      <c r="L1121" s="3" t="s">
        <v>929</v>
      </c>
      <c r="M1121" s="3" t="s">
        <v>174</v>
      </c>
      <c r="N1121" s="3" t="s">
        <v>171</v>
      </c>
      <c r="O1121" s="3" t="s">
        <v>166</v>
      </c>
      <c r="P1121" s="3" t="s">
        <v>989</v>
      </c>
      <c r="Q1121" s="3" t="s">
        <v>990</v>
      </c>
      <c r="R1121" s="3" t="s">
        <v>2282</v>
      </c>
      <c r="S1121" s="3"/>
      <c r="T1121" s="3"/>
      <c r="U1121" s="3"/>
      <c r="V1121" s="3"/>
      <c r="W1121" s="3"/>
      <c r="X1121" s="3"/>
      <c r="Y1121" s="3"/>
      <c r="Z1121" s="3"/>
      <c r="AA1121" s="3">
        <v>39500</v>
      </c>
      <c r="AB1121" s="3">
        <v>8000</v>
      </c>
      <c r="AC1121" s="4">
        <v>43574</v>
      </c>
      <c r="AD1121" s="3" t="s">
        <v>42</v>
      </c>
      <c r="AE1121" s="3" t="s">
        <v>279</v>
      </c>
      <c r="AF1121" s="3">
        <v>0</v>
      </c>
    </row>
    <row r="1122" spans="1:32" ht="27.95" x14ac:dyDescent="0.3">
      <c r="A1122" s="5">
        <v>1116</v>
      </c>
      <c r="B1122" s="5" t="str">
        <f>"201900217367"</f>
        <v>201900217367</v>
      </c>
      <c r="C1122" s="5" t="str">
        <f>"16720"</f>
        <v>16720</v>
      </c>
      <c r="D1122" s="5" t="s">
        <v>5762</v>
      </c>
      <c r="E1122" s="5">
        <v>20479808105</v>
      </c>
      <c r="F1122" s="5" t="s">
        <v>5763</v>
      </c>
      <c r="G1122" s="5" t="s">
        <v>5764</v>
      </c>
      <c r="H1122" s="5" t="s">
        <v>36</v>
      </c>
      <c r="I1122" s="5" t="s">
        <v>409</v>
      </c>
      <c r="J1122" s="5" t="s">
        <v>409</v>
      </c>
      <c r="K1122" s="5" t="s">
        <v>37</v>
      </c>
      <c r="L1122" s="5" t="s">
        <v>49</v>
      </c>
      <c r="M1122" s="5" t="s">
        <v>5765</v>
      </c>
      <c r="N1122" s="5" t="s">
        <v>103</v>
      </c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>
        <v>10000</v>
      </c>
      <c r="AB1122" s="5">
        <v>2500</v>
      </c>
      <c r="AC1122" s="6">
        <v>43836</v>
      </c>
      <c r="AD1122" s="5" t="s">
        <v>42</v>
      </c>
      <c r="AE1122" s="5" t="s">
        <v>5766</v>
      </c>
      <c r="AF1122" s="5">
        <v>240</v>
      </c>
    </row>
    <row r="1123" spans="1:32" x14ac:dyDescent="0.3">
      <c r="A1123" s="3">
        <v>1117</v>
      </c>
      <c r="B1123" s="3" t="str">
        <f>"201700054310"</f>
        <v>201700054310</v>
      </c>
      <c r="C1123" s="3" t="str">
        <f>"35102"</f>
        <v>35102</v>
      </c>
      <c r="D1123" s="3" t="s">
        <v>5767</v>
      </c>
      <c r="E1123" s="3">
        <v>20182049086</v>
      </c>
      <c r="F1123" s="3" t="s">
        <v>5768</v>
      </c>
      <c r="G1123" s="3" t="s">
        <v>5769</v>
      </c>
      <c r="H1123" s="3" t="s">
        <v>532</v>
      </c>
      <c r="I1123" s="3" t="s">
        <v>714</v>
      </c>
      <c r="J1123" s="3" t="s">
        <v>714</v>
      </c>
      <c r="K1123" s="3" t="s">
        <v>37</v>
      </c>
      <c r="L1123" s="3" t="s">
        <v>3663</v>
      </c>
      <c r="M1123" s="3" t="s">
        <v>2028</v>
      </c>
      <c r="N1123" s="3" t="s">
        <v>5770</v>
      </c>
      <c r="O1123" s="3" t="s">
        <v>5771</v>
      </c>
      <c r="P1123" s="3" t="s">
        <v>214</v>
      </c>
      <c r="Q1123" s="3" t="s">
        <v>5772</v>
      </c>
      <c r="R1123" s="3" t="s">
        <v>94</v>
      </c>
      <c r="S1123" s="3"/>
      <c r="T1123" s="3"/>
      <c r="U1123" s="3"/>
      <c r="V1123" s="3"/>
      <c r="W1123" s="3"/>
      <c r="X1123" s="3"/>
      <c r="Y1123" s="3"/>
      <c r="Z1123" s="3"/>
      <c r="AA1123" s="3">
        <v>27200</v>
      </c>
      <c r="AB1123" s="3">
        <v>5000</v>
      </c>
      <c r="AC1123" s="4">
        <v>42843</v>
      </c>
      <c r="AD1123" s="3" t="s">
        <v>42</v>
      </c>
      <c r="AE1123" s="3" t="s">
        <v>5773</v>
      </c>
      <c r="AF1123" s="3">
        <v>240</v>
      </c>
    </row>
    <row r="1124" spans="1:32" ht="27.95" x14ac:dyDescent="0.3">
      <c r="A1124" s="5">
        <v>1118</v>
      </c>
      <c r="B1124" s="5" t="str">
        <f>"201800050451"</f>
        <v>201800050451</v>
      </c>
      <c r="C1124" s="5" t="str">
        <f>"40270"</f>
        <v>40270</v>
      </c>
      <c r="D1124" s="5" t="s">
        <v>5774</v>
      </c>
      <c r="E1124" s="5">
        <v>20486870592</v>
      </c>
      <c r="F1124" s="5" t="s">
        <v>5775</v>
      </c>
      <c r="G1124" s="5" t="s">
        <v>5776</v>
      </c>
      <c r="H1124" s="5" t="s">
        <v>108</v>
      </c>
      <c r="I1124" s="5" t="s">
        <v>109</v>
      </c>
      <c r="J1124" s="5" t="s">
        <v>4950</v>
      </c>
      <c r="K1124" s="5" t="s">
        <v>37</v>
      </c>
      <c r="L1124" s="5" t="s">
        <v>5777</v>
      </c>
      <c r="M1124" s="5" t="s">
        <v>172</v>
      </c>
      <c r="N1124" s="5" t="s">
        <v>5778</v>
      </c>
      <c r="O1124" s="5" t="s">
        <v>54</v>
      </c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>
        <v>8717</v>
      </c>
      <c r="AB1124" s="5">
        <v>4000</v>
      </c>
      <c r="AC1124" s="6">
        <v>43186</v>
      </c>
      <c r="AD1124" s="5" t="s">
        <v>42</v>
      </c>
      <c r="AE1124" s="5" t="s">
        <v>5779</v>
      </c>
      <c r="AF1124" s="5">
        <v>180</v>
      </c>
    </row>
    <row r="1125" spans="1:32" ht="27.95" x14ac:dyDescent="0.3">
      <c r="A1125" s="3">
        <v>1119</v>
      </c>
      <c r="B1125" s="3" t="str">
        <f>"201800007208"</f>
        <v>201800007208</v>
      </c>
      <c r="C1125" s="3" t="str">
        <f>"20110"</f>
        <v>20110</v>
      </c>
      <c r="D1125" s="3" t="s">
        <v>5780</v>
      </c>
      <c r="E1125" s="3">
        <v>20602317413</v>
      </c>
      <c r="F1125" s="3" t="s">
        <v>5781</v>
      </c>
      <c r="G1125" s="3" t="s">
        <v>5782</v>
      </c>
      <c r="H1125" s="3" t="s">
        <v>638</v>
      </c>
      <c r="I1125" s="3" t="s">
        <v>2057</v>
      </c>
      <c r="J1125" s="3" t="s">
        <v>2057</v>
      </c>
      <c r="K1125" s="3" t="s">
        <v>37</v>
      </c>
      <c r="L1125" s="3" t="s">
        <v>3000</v>
      </c>
      <c r="M1125" s="3" t="s">
        <v>5783</v>
      </c>
      <c r="N1125" s="3" t="s">
        <v>5784</v>
      </c>
      <c r="O1125" s="3" t="s">
        <v>5785</v>
      </c>
      <c r="P1125" s="3" t="s">
        <v>593</v>
      </c>
      <c r="Q1125" s="3" t="s">
        <v>3000</v>
      </c>
      <c r="R1125" s="3" t="s">
        <v>648</v>
      </c>
      <c r="S1125" s="3" t="s">
        <v>2062</v>
      </c>
      <c r="T1125" s="3"/>
      <c r="U1125" s="3"/>
      <c r="V1125" s="3"/>
      <c r="W1125" s="3"/>
      <c r="X1125" s="3"/>
      <c r="Y1125" s="3"/>
      <c r="Z1125" s="3"/>
      <c r="AA1125" s="3">
        <v>44600</v>
      </c>
      <c r="AB1125" s="3">
        <v>5700</v>
      </c>
      <c r="AC1125" s="4">
        <v>43121</v>
      </c>
      <c r="AD1125" s="3" t="s">
        <v>42</v>
      </c>
      <c r="AE1125" s="3" t="s">
        <v>5786</v>
      </c>
      <c r="AF1125" s="3">
        <v>480</v>
      </c>
    </row>
    <row r="1126" spans="1:32" ht="41.95" x14ac:dyDescent="0.3">
      <c r="A1126" s="5">
        <v>1120</v>
      </c>
      <c r="B1126" s="5" t="str">
        <f>"201800085053"</f>
        <v>201800085053</v>
      </c>
      <c r="C1126" s="5" t="str">
        <f>"17894"</f>
        <v>17894</v>
      </c>
      <c r="D1126" s="5" t="s">
        <v>5787</v>
      </c>
      <c r="E1126" s="5">
        <v>20477630961</v>
      </c>
      <c r="F1126" s="5" t="s">
        <v>5788</v>
      </c>
      <c r="G1126" s="5" t="s">
        <v>5789</v>
      </c>
      <c r="H1126" s="5" t="s">
        <v>219</v>
      </c>
      <c r="I1126" s="5" t="s">
        <v>283</v>
      </c>
      <c r="J1126" s="5" t="s">
        <v>284</v>
      </c>
      <c r="K1126" s="5" t="s">
        <v>37</v>
      </c>
      <c r="L1126" s="5" t="s">
        <v>555</v>
      </c>
      <c r="M1126" s="5" t="s">
        <v>459</v>
      </c>
      <c r="N1126" s="5" t="s">
        <v>4769</v>
      </c>
      <c r="O1126" s="5" t="s">
        <v>5066</v>
      </c>
      <c r="P1126" s="5" t="s">
        <v>248</v>
      </c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>
        <v>8700</v>
      </c>
      <c r="AB1126" s="5">
        <v>3000</v>
      </c>
      <c r="AC1126" s="6">
        <v>43248</v>
      </c>
      <c r="AD1126" s="5" t="s">
        <v>42</v>
      </c>
      <c r="AE1126" s="5" t="s">
        <v>5790</v>
      </c>
      <c r="AF1126" s="5">
        <v>720</v>
      </c>
    </row>
    <row r="1127" spans="1:32" x14ac:dyDescent="0.3">
      <c r="A1127" s="3">
        <v>1121</v>
      </c>
      <c r="B1127" s="3" t="str">
        <f>"201900021569"</f>
        <v>201900021569</v>
      </c>
      <c r="C1127" s="3" t="str">
        <f>"7486"</f>
        <v>7486</v>
      </c>
      <c r="D1127" s="3" t="s">
        <v>5791</v>
      </c>
      <c r="E1127" s="3">
        <v>20132001902</v>
      </c>
      <c r="F1127" s="3" t="s">
        <v>5792</v>
      </c>
      <c r="G1127" s="3" t="s">
        <v>5793</v>
      </c>
      <c r="H1127" s="3" t="s">
        <v>219</v>
      </c>
      <c r="I1127" s="3" t="s">
        <v>220</v>
      </c>
      <c r="J1127" s="3" t="s">
        <v>220</v>
      </c>
      <c r="K1127" s="3" t="s">
        <v>37</v>
      </c>
      <c r="L1127" s="3" t="s">
        <v>63</v>
      </c>
      <c r="M1127" s="3" t="s">
        <v>63</v>
      </c>
      <c r="N1127" s="3" t="s">
        <v>555</v>
      </c>
      <c r="O1127" s="3" t="s">
        <v>161</v>
      </c>
      <c r="P1127" s="3" t="s">
        <v>555</v>
      </c>
      <c r="Q1127" s="3" t="s">
        <v>1278</v>
      </c>
      <c r="R1127" s="3" t="s">
        <v>94</v>
      </c>
      <c r="S1127" s="3"/>
      <c r="T1127" s="3"/>
      <c r="U1127" s="3"/>
      <c r="V1127" s="3"/>
      <c r="W1127" s="3"/>
      <c r="X1127" s="3"/>
      <c r="Y1127" s="3"/>
      <c r="Z1127" s="3"/>
      <c r="AA1127" s="3">
        <v>30000</v>
      </c>
      <c r="AB1127" s="3">
        <v>5000</v>
      </c>
      <c r="AC1127" s="4">
        <v>43511</v>
      </c>
      <c r="AD1127" s="3" t="s">
        <v>42</v>
      </c>
      <c r="AE1127" s="3" t="s">
        <v>5794</v>
      </c>
      <c r="AF1127" s="3">
        <v>0</v>
      </c>
    </row>
    <row r="1128" spans="1:32" x14ac:dyDescent="0.3">
      <c r="A1128" s="5">
        <v>1122</v>
      </c>
      <c r="B1128" s="5" t="str">
        <f>"202000002157"</f>
        <v>202000002157</v>
      </c>
      <c r="C1128" s="5" t="str">
        <f>"107824"</f>
        <v>107824</v>
      </c>
      <c r="D1128" s="5" t="s">
        <v>5795</v>
      </c>
      <c r="E1128" s="5">
        <v>10073530593</v>
      </c>
      <c r="F1128" s="5" t="s">
        <v>5796</v>
      </c>
      <c r="G1128" s="5" t="s">
        <v>5797</v>
      </c>
      <c r="H1128" s="5" t="s">
        <v>108</v>
      </c>
      <c r="I1128" s="5" t="s">
        <v>144</v>
      </c>
      <c r="J1128" s="5" t="s">
        <v>144</v>
      </c>
      <c r="K1128" s="5" t="s">
        <v>37</v>
      </c>
      <c r="L1128" s="5" t="s">
        <v>2951</v>
      </c>
      <c r="M1128" s="5" t="s">
        <v>5798</v>
      </c>
      <c r="N1128" s="5" t="s">
        <v>5799</v>
      </c>
      <c r="O1128" s="5" t="s">
        <v>5800</v>
      </c>
      <c r="P1128" s="5" t="s">
        <v>94</v>
      </c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>
        <v>9038</v>
      </c>
      <c r="AB1128" s="5">
        <v>5000</v>
      </c>
      <c r="AC1128" s="6">
        <v>43847</v>
      </c>
      <c r="AD1128" s="5" t="s">
        <v>42</v>
      </c>
      <c r="AE1128" s="5" t="s">
        <v>5796</v>
      </c>
      <c r="AF1128" s="5">
        <v>0</v>
      </c>
    </row>
    <row r="1129" spans="1:32" x14ac:dyDescent="0.3">
      <c r="A1129" s="3">
        <v>1123</v>
      </c>
      <c r="B1129" s="3" t="str">
        <f>"201600182698"</f>
        <v>201600182698</v>
      </c>
      <c r="C1129" s="3" t="str">
        <f>"17850"</f>
        <v>17850</v>
      </c>
      <c r="D1129" s="3" t="s">
        <v>5801</v>
      </c>
      <c r="E1129" s="3">
        <v>20489333512</v>
      </c>
      <c r="F1129" s="3" t="s">
        <v>5709</v>
      </c>
      <c r="G1129" s="3" t="s">
        <v>5802</v>
      </c>
      <c r="H1129" s="3" t="s">
        <v>125</v>
      </c>
      <c r="I1129" s="3" t="s">
        <v>125</v>
      </c>
      <c r="J1129" s="3" t="s">
        <v>125</v>
      </c>
      <c r="K1129" s="3" t="s">
        <v>37</v>
      </c>
      <c r="L1129" s="3" t="s">
        <v>5803</v>
      </c>
      <c r="M1129" s="3" t="s">
        <v>1007</v>
      </c>
      <c r="N1129" s="3" t="s">
        <v>248</v>
      </c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>
        <v>5000</v>
      </c>
      <c r="AB1129" s="3">
        <v>3000</v>
      </c>
      <c r="AC1129" s="4">
        <v>42733</v>
      </c>
      <c r="AD1129" s="3" t="s">
        <v>42</v>
      </c>
      <c r="AE1129" s="3" t="s">
        <v>5804</v>
      </c>
      <c r="AF1129" s="3">
        <v>0</v>
      </c>
    </row>
    <row r="1130" spans="1:32" ht="27.95" x14ac:dyDescent="0.3">
      <c r="A1130" s="5">
        <v>1124</v>
      </c>
      <c r="B1130" s="5" t="str">
        <f>"201600141061"</f>
        <v>201600141061</v>
      </c>
      <c r="C1130" s="5" t="str">
        <f>"9632"</f>
        <v>9632</v>
      </c>
      <c r="D1130" s="5" t="s">
        <v>5805</v>
      </c>
      <c r="E1130" s="5">
        <v>10103792946</v>
      </c>
      <c r="F1130" s="5" t="s">
        <v>5806</v>
      </c>
      <c r="G1130" s="5" t="s">
        <v>5807</v>
      </c>
      <c r="H1130" s="5" t="s">
        <v>58</v>
      </c>
      <c r="I1130" s="5" t="s">
        <v>58</v>
      </c>
      <c r="J1130" s="5" t="s">
        <v>1026</v>
      </c>
      <c r="K1130" s="5" t="s">
        <v>37</v>
      </c>
      <c r="L1130" s="5" t="s">
        <v>102</v>
      </c>
      <c r="M1130" s="5" t="s">
        <v>5808</v>
      </c>
      <c r="N1130" s="5" t="s">
        <v>5809</v>
      </c>
      <c r="O1130" s="5" t="s">
        <v>103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>
        <v>12700</v>
      </c>
      <c r="AB1130" s="5">
        <v>2500</v>
      </c>
      <c r="AC1130" s="6">
        <v>42643</v>
      </c>
      <c r="AD1130" s="5" t="s">
        <v>42</v>
      </c>
      <c r="AE1130" s="5" t="s">
        <v>5810</v>
      </c>
      <c r="AF1130" s="5">
        <v>0</v>
      </c>
    </row>
    <row r="1131" spans="1:32" ht="27.95" x14ac:dyDescent="0.3">
      <c r="A1131" s="3">
        <v>1125</v>
      </c>
      <c r="B1131" s="3" t="str">
        <f>"201900104731"</f>
        <v>201900104731</v>
      </c>
      <c r="C1131" s="3" t="str">
        <f>"142938"</f>
        <v>142938</v>
      </c>
      <c r="D1131" s="3" t="s">
        <v>5811</v>
      </c>
      <c r="E1131" s="3">
        <v>20348303636</v>
      </c>
      <c r="F1131" s="3" t="s">
        <v>2757</v>
      </c>
      <c r="G1131" s="3" t="s">
        <v>5812</v>
      </c>
      <c r="H1131" s="3" t="s">
        <v>58</v>
      </c>
      <c r="I1131" s="3" t="s">
        <v>58</v>
      </c>
      <c r="J1131" s="3" t="s">
        <v>410</v>
      </c>
      <c r="K1131" s="3" t="s">
        <v>37</v>
      </c>
      <c r="L1131" s="3" t="s">
        <v>161</v>
      </c>
      <c r="M1131" s="3" t="s">
        <v>5813</v>
      </c>
      <c r="N1131" s="3" t="s">
        <v>1278</v>
      </c>
      <c r="O1131" s="3" t="s">
        <v>4914</v>
      </c>
      <c r="P1131" s="3" t="s">
        <v>103</v>
      </c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>
        <v>21800</v>
      </c>
      <c r="AB1131" s="3">
        <v>2500</v>
      </c>
      <c r="AC1131" s="4">
        <v>43645</v>
      </c>
      <c r="AD1131" s="3" t="s">
        <v>42</v>
      </c>
      <c r="AE1131" s="3" t="s">
        <v>382</v>
      </c>
      <c r="AF1131" s="3">
        <v>0</v>
      </c>
    </row>
    <row r="1132" spans="1:32" ht="27.95" x14ac:dyDescent="0.3">
      <c r="A1132" s="5">
        <v>1126</v>
      </c>
      <c r="B1132" s="5" t="str">
        <f>"201900204254"</f>
        <v>201900204254</v>
      </c>
      <c r="C1132" s="5" t="str">
        <f>"90240"</f>
        <v>90240</v>
      </c>
      <c r="D1132" s="5" t="s">
        <v>5814</v>
      </c>
      <c r="E1132" s="5">
        <v>20127765279</v>
      </c>
      <c r="F1132" s="5" t="s">
        <v>1115</v>
      </c>
      <c r="G1132" s="5" t="s">
        <v>5815</v>
      </c>
      <c r="H1132" s="5" t="s">
        <v>36</v>
      </c>
      <c r="I1132" s="5" t="s">
        <v>36</v>
      </c>
      <c r="J1132" s="5" t="s">
        <v>36</v>
      </c>
      <c r="K1132" s="5" t="s">
        <v>37</v>
      </c>
      <c r="L1132" s="5" t="s">
        <v>5816</v>
      </c>
      <c r="M1132" s="5" t="s">
        <v>3096</v>
      </c>
      <c r="N1132" s="5" t="s">
        <v>381</v>
      </c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>
        <v>14500</v>
      </c>
      <c r="AB1132" s="5">
        <v>2000</v>
      </c>
      <c r="AC1132" s="6">
        <v>43811</v>
      </c>
      <c r="AD1132" s="5" t="s">
        <v>42</v>
      </c>
      <c r="AE1132" s="5" t="s">
        <v>279</v>
      </c>
      <c r="AF1132" s="5">
        <v>120</v>
      </c>
    </row>
    <row r="1133" spans="1:32" ht="27.95" x14ac:dyDescent="0.3">
      <c r="A1133" s="3">
        <v>1127</v>
      </c>
      <c r="B1133" s="3" t="str">
        <f>"201700085285"</f>
        <v>201700085285</v>
      </c>
      <c r="C1133" s="3" t="str">
        <f>"21450"</f>
        <v>21450</v>
      </c>
      <c r="D1133" s="3" t="s">
        <v>5817</v>
      </c>
      <c r="E1133" s="3">
        <v>20520012428</v>
      </c>
      <c r="F1133" s="3" t="s">
        <v>5818</v>
      </c>
      <c r="G1133" s="3" t="s">
        <v>5819</v>
      </c>
      <c r="H1133" s="3" t="s">
        <v>656</v>
      </c>
      <c r="I1133" s="3" t="s">
        <v>656</v>
      </c>
      <c r="J1133" s="3" t="s">
        <v>657</v>
      </c>
      <c r="K1133" s="3" t="s">
        <v>37</v>
      </c>
      <c r="L1133" s="3" t="s">
        <v>72</v>
      </c>
      <c r="M1133" s="3" t="s">
        <v>72</v>
      </c>
      <c r="N1133" s="3" t="s">
        <v>5820</v>
      </c>
      <c r="O1133" s="3" t="s">
        <v>94</v>
      </c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>
        <v>24000</v>
      </c>
      <c r="AB1133" s="3">
        <v>5000</v>
      </c>
      <c r="AC1133" s="4">
        <v>42895</v>
      </c>
      <c r="AD1133" s="3" t="s">
        <v>42</v>
      </c>
      <c r="AE1133" s="3" t="s">
        <v>2219</v>
      </c>
      <c r="AF1133" s="3">
        <v>0</v>
      </c>
    </row>
    <row r="1134" spans="1:32" x14ac:dyDescent="0.3">
      <c r="A1134" s="5">
        <v>1128</v>
      </c>
      <c r="B1134" s="5" t="str">
        <f>"201900055076"</f>
        <v>201900055076</v>
      </c>
      <c r="C1134" s="5" t="str">
        <f>"105925"</f>
        <v>105925</v>
      </c>
      <c r="D1134" s="5" t="s">
        <v>5821</v>
      </c>
      <c r="E1134" s="5">
        <v>20529892056</v>
      </c>
      <c r="F1134" s="5" t="s">
        <v>5822</v>
      </c>
      <c r="G1134" s="5" t="s">
        <v>5823</v>
      </c>
      <c r="H1134" s="5" t="s">
        <v>187</v>
      </c>
      <c r="I1134" s="5" t="s">
        <v>210</v>
      </c>
      <c r="J1134" s="5" t="s">
        <v>210</v>
      </c>
      <c r="K1134" s="5" t="s">
        <v>37</v>
      </c>
      <c r="L1134" s="5" t="s">
        <v>262</v>
      </c>
      <c r="M1134" s="5" t="s">
        <v>161</v>
      </c>
      <c r="N1134" s="5" t="s">
        <v>63</v>
      </c>
      <c r="O1134" s="5" t="s">
        <v>593</v>
      </c>
      <c r="P1134" s="5" t="s">
        <v>94</v>
      </c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>
        <v>24000</v>
      </c>
      <c r="AB1134" s="5">
        <v>5000</v>
      </c>
      <c r="AC1134" s="6">
        <v>43559</v>
      </c>
      <c r="AD1134" s="5" t="s">
        <v>42</v>
      </c>
      <c r="AE1134" s="5" t="s">
        <v>5824</v>
      </c>
      <c r="AF1134" s="5">
        <v>720</v>
      </c>
    </row>
    <row r="1135" spans="1:32" ht="27.95" x14ac:dyDescent="0.3">
      <c r="A1135" s="3">
        <v>1129</v>
      </c>
      <c r="B1135" s="3" t="str">
        <f>"201800180210"</f>
        <v>201800180210</v>
      </c>
      <c r="C1135" s="3" t="str">
        <f>"122132"</f>
        <v>122132</v>
      </c>
      <c r="D1135" s="3" t="s">
        <v>5825</v>
      </c>
      <c r="E1135" s="3">
        <v>20600723058</v>
      </c>
      <c r="F1135" s="3" t="s">
        <v>5826</v>
      </c>
      <c r="G1135" s="3" t="s">
        <v>5827</v>
      </c>
      <c r="H1135" s="3" t="s">
        <v>532</v>
      </c>
      <c r="I1135" s="3" t="s">
        <v>532</v>
      </c>
      <c r="J1135" s="3" t="s">
        <v>5828</v>
      </c>
      <c r="K1135" s="3" t="s">
        <v>37</v>
      </c>
      <c r="L1135" s="3" t="s">
        <v>110</v>
      </c>
      <c r="M1135" s="3" t="s">
        <v>3663</v>
      </c>
      <c r="N1135" s="3" t="s">
        <v>555</v>
      </c>
      <c r="O1135" s="3" t="s">
        <v>120</v>
      </c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>
        <v>13000</v>
      </c>
      <c r="AB1135" s="3">
        <v>3500</v>
      </c>
      <c r="AC1135" s="4">
        <v>43418</v>
      </c>
      <c r="AD1135" s="3" t="s">
        <v>42</v>
      </c>
      <c r="AE1135" s="3" t="s">
        <v>5829</v>
      </c>
      <c r="AF1135" s="3">
        <v>0</v>
      </c>
    </row>
    <row r="1136" spans="1:32" ht="27.95" x14ac:dyDescent="0.3">
      <c r="A1136" s="5">
        <v>1130</v>
      </c>
      <c r="B1136" s="5" t="str">
        <f>"201900204263"</f>
        <v>201900204263</v>
      </c>
      <c r="C1136" s="5" t="str">
        <f>"92106"</f>
        <v>92106</v>
      </c>
      <c r="D1136" s="5" t="s">
        <v>5830</v>
      </c>
      <c r="E1136" s="5">
        <v>20330033313</v>
      </c>
      <c r="F1136" s="5" t="s">
        <v>1115</v>
      </c>
      <c r="G1136" s="5" t="s">
        <v>5831</v>
      </c>
      <c r="H1136" s="5" t="s">
        <v>108</v>
      </c>
      <c r="I1136" s="5" t="s">
        <v>647</v>
      </c>
      <c r="J1136" s="5" t="s">
        <v>846</v>
      </c>
      <c r="K1136" s="5" t="s">
        <v>37</v>
      </c>
      <c r="L1136" s="5" t="s">
        <v>5832</v>
      </c>
      <c r="M1136" s="5" t="s">
        <v>5833</v>
      </c>
      <c r="N1136" s="5" t="s">
        <v>5834</v>
      </c>
      <c r="O1136" s="5" t="s">
        <v>248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>
        <v>30616</v>
      </c>
      <c r="AB1136" s="5">
        <v>3000</v>
      </c>
      <c r="AC1136" s="6">
        <v>43809</v>
      </c>
      <c r="AD1136" s="5" t="s">
        <v>42</v>
      </c>
      <c r="AE1136" s="5" t="s">
        <v>279</v>
      </c>
      <c r="AF1136" s="5">
        <v>120</v>
      </c>
    </row>
    <row r="1137" spans="1:32" ht="27.95" x14ac:dyDescent="0.3">
      <c r="A1137" s="3">
        <v>1131</v>
      </c>
      <c r="B1137" s="3" t="str">
        <f>"201700105240"</f>
        <v>201700105240</v>
      </c>
      <c r="C1137" s="3" t="str">
        <f>"130331"</f>
        <v>130331</v>
      </c>
      <c r="D1137" s="3" t="s">
        <v>5835</v>
      </c>
      <c r="E1137" s="3">
        <v>20547701209</v>
      </c>
      <c r="F1137" s="3" t="s">
        <v>5836</v>
      </c>
      <c r="G1137" s="3" t="s">
        <v>5837</v>
      </c>
      <c r="H1137" s="3" t="s">
        <v>58</v>
      </c>
      <c r="I1137" s="3" t="s">
        <v>1108</v>
      </c>
      <c r="J1137" s="3" t="s">
        <v>3718</v>
      </c>
      <c r="K1137" s="3" t="s">
        <v>37</v>
      </c>
      <c r="L1137" s="3" t="s">
        <v>4281</v>
      </c>
      <c r="M1137" s="3" t="s">
        <v>278</v>
      </c>
      <c r="N1137" s="3" t="s">
        <v>2112</v>
      </c>
      <c r="O1137" s="3" t="s">
        <v>277</v>
      </c>
      <c r="P1137" s="3" t="s">
        <v>94</v>
      </c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>
        <v>18300</v>
      </c>
      <c r="AB1137" s="3">
        <v>5000</v>
      </c>
      <c r="AC1137" s="4">
        <v>42924</v>
      </c>
      <c r="AD1137" s="3" t="s">
        <v>42</v>
      </c>
      <c r="AE1137" s="3" t="s">
        <v>5838</v>
      </c>
      <c r="AF1137" s="3">
        <v>0</v>
      </c>
    </row>
    <row r="1138" spans="1:32" ht="27.95" x14ac:dyDescent="0.3">
      <c r="A1138" s="5">
        <v>1132</v>
      </c>
      <c r="B1138" s="5" t="str">
        <f>"201900127959"</f>
        <v>201900127959</v>
      </c>
      <c r="C1138" s="5" t="str">
        <f>"122065"</f>
        <v>122065</v>
      </c>
      <c r="D1138" s="5" t="s">
        <v>5839</v>
      </c>
      <c r="E1138" s="5">
        <v>20601598575</v>
      </c>
      <c r="F1138" s="5" t="s">
        <v>5840</v>
      </c>
      <c r="G1138" s="5" t="s">
        <v>5841</v>
      </c>
      <c r="H1138" s="5" t="s">
        <v>108</v>
      </c>
      <c r="I1138" s="5" t="s">
        <v>647</v>
      </c>
      <c r="J1138" s="5" t="s">
        <v>846</v>
      </c>
      <c r="K1138" s="5" t="s">
        <v>37</v>
      </c>
      <c r="L1138" s="5" t="s">
        <v>2870</v>
      </c>
      <c r="M1138" s="5" t="s">
        <v>5842</v>
      </c>
      <c r="N1138" s="5" t="s">
        <v>94</v>
      </c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>
        <v>16000</v>
      </c>
      <c r="AB1138" s="5">
        <v>5000</v>
      </c>
      <c r="AC1138" s="6">
        <v>43684</v>
      </c>
      <c r="AD1138" s="5" t="s">
        <v>42</v>
      </c>
      <c r="AE1138" s="5" t="s">
        <v>5624</v>
      </c>
      <c r="AF1138" s="5">
        <v>0</v>
      </c>
    </row>
    <row r="1139" spans="1:32" x14ac:dyDescent="0.3">
      <c r="A1139" s="3">
        <v>1133</v>
      </c>
      <c r="B1139" s="3" t="str">
        <f>"202000117427"</f>
        <v>202000117427</v>
      </c>
      <c r="C1139" s="3" t="str">
        <f>"106964"</f>
        <v>106964</v>
      </c>
      <c r="D1139" s="3" t="s">
        <v>5843</v>
      </c>
      <c r="E1139" s="3">
        <v>20539681550</v>
      </c>
      <c r="F1139" s="3" t="s">
        <v>5844</v>
      </c>
      <c r="G1139" s="3" t="s">
        <v>5845</v>
      </c>
      <c r="H1139" s="3" t="s">
        <v>89</v>
      </c>
      <c r="I1139" s="3" t="s">
        <v>4367</v>
      </c>
      <c r="J1139" s="3" t="s">
        <v>4368</v>
      </c>
      <c r="K1139" s="3" t="s">
        <v>37</v>
      </c>
      <c r="L1139" s="3" t="s">
        <v>51</v>
      </c>
      <c r="M1139" s="3" t="s">
        <v>368</v>
      </c>
      <c r="N1139" s="3" t="s">
        <v>1153</v>
      </c>
      <c r="O1139" s="3" t="s">
        <v>72</v>
      </c>
      <c r="P1139" s="3" t="s">
        <v>248</v>
      </c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>
        <v>18000</v>
      </c>
      <c r="AB1139" s="3">
        <v>3000</v>
      </c>
      <c r="AC1139" s="4">
        <v>44085</v>
      </c>
      <c r="AD1139" s="3" t="s">
        <v>42</v>
      </c>
      <c r="AE1139" s="3" t="s">
        <v>5846</v>
      </c>
      <c r="AF1139" s="3">
        <v>0</v>
      </c>
    </row>
    <row r="1140" spans="1:32" ht="27.95" x14ac:dyDescent="0.3">
      <c r="A1140" s="5">
        <v>1134</v>
      </c>
      <c r="B1140" s="5" t="str">
        <f>"201800125778"</f>
        <v>201800125778</v>
      </c>
      <c r="C1140" s="5" t="str">
        <f>"16761"</f>
        <v>16761</v>
      </c>
      <c r="D1140" s="5" t="s">
        <v>5847</v>
      </c>
      <c r="E1140" s="5">
        <v>20601539749</v>
      </c>
      <c r="F1140" s="5" t="s">
        <v>5848</v>
      </c>
      <c r="G1140" s="5" t="s">
        <v>5849</v>
      </c>
      <c r="H1140" s="5" t="s">
        <v>150</v>
      </c>
      <c r="I1140" s="5" t="s">
        <v>2999</v>
      </c>
      <c r="J1140" s="5" t="s">
        <v>4603</v>
      </c>
      <c r="K1140" s="5" t="s">
        <v>37</v>
      </c>
      <c r="L1140" s="5" t="s">
        <v>5850</v>
      </c>
      <c r="M1140" s="5" t="s">
        <v>5851</v>
      </c>
      <c r="N1140" s="5" t="s">
        <v>4281</v>
      </c>
      <c r="O1140" s="5" t="s">
        <v>4281</v>
      </c>
      <c r="P1140" s="5" t="s">
        <v>4281</v>
      </c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>
        <v>46000</v>
      </c>
      <c r="AB1140" s="5">
        <v>7800</v>
      </c>
      <c r="AC1140" s="6">
        <v>43313</v>
      </c>
      <c r="AD1140" s="5" t="s">
        <v>42</v>
      </c>
      <c r="AE1140" s="5" t="s">
        <v>1827</v>
      </c>
      <c r="AF1140" s="5">
        <v>0</v>
      </c>
    </row>
  </sheetData>
  <mergeCells count="1">
    <mergeCell ref="A2:AF2"/>
  </mergeCells>
  <pageMargins left="0.75" right="0.75" top="1" bottom="1" header="0.5" footer="0.5"/>
  <pageSetup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EstacionesdeServicioconGasocent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</dc:title>
  <dc:creator>Jose Manuel Castañeda Rossel</dc:creator>
  <cp:lastModifiedBy>Jose Manuel Castañeda Rossel</cp:lastModifiedBy>
  <dcterms:created xsi:type="dcterms:W3CDTF">2020-10-29T22:07:00Z</dcterms:created>
  <dcterms:modified xsi:type="dcterms:W3CDTF">2020-10-29T22:07:01Z</dcterms:modified>
</cp:coreProperties>
</file>