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33" windowHeight="7039" activeTab="0"/>
  </bookViews>
  <sheets>
    <sheet name="DistribuidoresMayoristasCombust" sheetId="1" r:id="rId1"/>
  </sheets>
  <definedNames/>
  <calcPr fullCalcOnLoad="1"/>
</workbook>
</file>

<file path=xl/sharedStrings.xml><?xml version="1.0" encoding="utf-8"?>
<sst xmlns="http://schemas.openxmlformats.org/spreadsheetml/2006/main" count="1624" uniqueCount="645">
  <si>
    <t>REGISTROS HÁBILES DE DISTRIBUIDORES MAYORISTAS COMBUSTIBLES LÍQUIDOS (Actualizado al 29 DE OCTUBRE DE 2020)</t>
  </si>
  <si>
    <t>No</t>
  </si>
  <si>
    <t>EXPEDIENTE</t>
  </si>
  <si>
    <t>CODIGO OSINERGMIN</t>
  </si>
  <si>
    <t>REGISTRO</t>
  </si>
  <si>
    <t>RUC</t>
  </si>
  <si>
    <t>RAZON SOCIAL</t>
  </si>
  <si>
    <t>DOMICILIO LEGAL</t>
  </si>
  <si>
    <t>OPERADOR</t>
  </si>
  <si>
    <t>PLANTA ABASTECIMIENTO</t>
  </si>
  <si>
    <t>DIRECCIÓN DEL ESTABLECIMIENTO</t>
  </si>
  <si>
    <t>DEPARTAMENTO</t>
  </si>
  <si>
    <t>PROVINCIA</t>
  </si>
  <si>
    <t>DISTRITO</t>
  </si>
  <si>
    <t>FEC. EMISIÓN</t>
  </si>
  <si>
    <t>TÉRMINO DE VIGENCIA</t>
  </si>
  <si>
    <t>PRODUCTOS QUE COMERCIALIZA</t>
  </si>
  <si>
    <t>125538-048-110220</t>
  </si>
  <si>
    <t>HIDROCARBUROS DEL MUNDO S.A.C.</t>
  </si>
  <si>
    <t>AV. BENAVIDES N° 620 OFIC. 703. EDIFICIO ZAFIRO, MIRAFLORES/LIMA/LIMA</t>
  </si>
  <si>
    <t>TERMINALES DEL PERU</t>
  </si>
  <si>
    <t>PLANTA DE ABASTECIMIENTO CHIMBOTE</t>
  </si>
  <si>
    <t>AV. BREA Y PARIÑAS KM. 421</t>
  </si>
  <si>
    <t>ANCASH</t>
  </si>
  <si>
    <t>SANTA</t>
  </si>
  <si>
    <t>CHIMBOTE</t>
  </si>
  <si>
    <t>INDEFINIDO</t>
  </si>
  <si>
    <t>DIESEL B5,Diesel B5 S-50,GASOHOL 84 PLUS,GASOHOL 90 PLUS,GASOHOL 95 PLUS,GASOLINA 84,GASOLINA 90,GASOLINA 95,PETRÓLEO INDUSTRIAL Nº 500,PETRÓLEO INDUSTRIAL Nº 6</t>
  </si>
  <si>
    <t>33838-048-260717</t>
  </si>
  <si>
    <t xml:space="preserve">MAPLE GAS CORPORATION DEL PERU S.R.L. </t>
  </si>
  <si>
    <t>AV. LA PAZ NRO. 1049 OF. 501, MIRAFLORES/LIMA/LIMA</t>
  </si>
  <si>
    <t xml:space="preserve">MAPLE GAS CORPORATION DEL PERÚ S.R.L. </t>
  </si>
  <si>
    <t>PLANTA DE VENTAS MAPLE</t>
  </si>
  <si>
    <t>JR. PADRE AGUERRIZABAL 300</t>
  </si>
  <si>
    <t>UCAYALI</t>
  </si>
  <si>
    <t>CORONEL PORTILLO</t>
  </si>
  <si>
    <t>CALLERIA</t>
  </si>
  <si>
    <t>DIESEL B5,GASOHOL 95 PLUS,GASOLINA 84,GASOLINA 90,PETRÓLEO INDUSTRIAL Nº 6,TURBO A-1</t>
  </si>
  <si>
    <t>33798-048-061218</t>
  </si>
  <si>
    <t>REFINERIA LA PAMPILLA S.A.A.</t>
  </si>
  <si>
    <t>AV. VICTOR ANDRES BELAUNDE N° 147, TORRE 5, PISO 10, SAN ISIDRO/LIMA/LIMA</t>
  </si>
  <si>
    <t>TERMINAL SUPE</t>
  </si>
  <si>
    <t>CALLE CALLAO N° 445- 460 – NUEVA VICTORIA</t>
  </si>
  <si>
    <t>LIMA</t>
  </si>
  <si>
    <t>BARRANCA</t>
  </si>
  <si>
    <t>SUPE PUERTO</t>
  </si>
  <si>
    <t>DIESEL B5,Diesel B5 S-50,GASOHOL 90 PLUS,GASOLINA 90</t>
  </si>
  <si>
    <t>33791-048-310720</t>
  </si>
  <si>
    <t>PETROLEOS DEL PERU PETROPERU S.A.</t>
  </si>
  <si>
    <t>AV. CANAVAL Y MOREYRA 150, SAN ISIDRO/LIMA/LIMA</t>
  </si>
  <si>
    <t>PLANTA DE ABASTECIMIENTO TALARA</t>
  </si>
  <si>
    <t>ZONA INDUSTRIAL, TALARA ALTA</t>
  </si>
  <si>
    <t>PIURA</t>
  </si>
  <si>
    <t>TALARA</t>
  </si>
  <si>
    <t>PARIÑAS</t>
  </si>
  <si>
    <t>DIESEL B5,Diesel B5 S-50,GASOHOL 84 PLUS,GASOHOL 90 PLUS,GASOHOL 95 PLUS,GASOLINA 84,GASOLINA 90,GASOLINA 95,PETRÓLEO INDUSTRIAL Nº 6,TURBO A-1</t>
  </si>
  <si>
    <t>38572-048-160419</t>
  </si>
  <si>
    <t xml:space="preserve">REPSOL ENERGY PERU S.A.C. </t>
  </si>
  <si>
    <t>AV SANTO TORIBIO N 173, URB EL ROSARIO, EDIFICIO REAL 8, PISO 4, SAN ISIDRO/LIMA/LIMA</t>
  </si>
  <si>
    <t>PLANTA DE ABASTECIMIENTO REFINERIA LA PAMPILLA</t>
  </si>
  <si>
    <t>CARRETERA VENTANILLA KM 25</t>
  </si>
  <si>
    <t>PROV. CONST. DEL CALLAO</t>
  </si>
  <si>
    <t>VENTANILLA</t>
  </si>
  <si>
    <t>Diesel B5 S-50,GASOHOL 84 PLUS,GASOHOL 90 PLUS,GASOHOL 95 PLUS,GASOHOL 97 PLUS,GASOHOL 98 PLUS,GASOLINA 84,GASOLINA 90,GASOLINA 95,GASOLINA 97,PETRÓLEO INDUSTRIAL Nº 500,PETRÓLEO INDUSTRIAL Nº 6</t>
  </si>
  <si>
    <t>33799-048-111218</t>
  </si>
  <si>
    <t>AV. VICTOR ANDRES BELAUNDE N° 147, VIA PRINCIPAL 110, TORRE REAL 05, PISO 10, SAN ISIDRO/LIMA/LIMA</t>
  </si>
  <si>
    <t>TERMINAL SALAVERRY</t>
  </si>
  <si>
    <t>JR. PACASMAYO N° 16</t>
  </si>
  <si>
    <t>LA LIBERTAD</t>
  </si>
  <si>
    <t>TRUJILLO</t>
  </si>
  <si>
    <t>SALAVERRY</t>
  </si>
  <si>
    <t>DIESEL B5,Diesel B5 S-50,GASOHOL 84 PLUS,GASOHOL 90 PLUS,GASOHOL 95 PLUS,GASOLINA 84,GASOLINA 90,GASOLINA 95</t>
  </si>
  <si>
    <t>34712-048-311018</t>
  </si>
  <si>
    <t>PETROLEOS DEL PERU - PETROPERU S.A. - PLANTA DE VENTAS EL MILAGRO</t>
  </si>
  <si>
    <t>AV. PASEO DE LA REPÚBLICA 3361, SAN ISIDRO/LIMA/LIMA</t>
  </si>
  <si>
    <t>PETROPERU</t>
  </si>
  <si>
    <t>PLANTA DE ABASTECIMIENTO “PLANTA DE VENTAS EL MILAGRO”</t>
  </si>
  <si>
    <t>ESTACIÓN Nº 7, CASERIO EL VALOR</t>
  </si>
  <si>
    <t>AMAZONAS</t>
  </si>
  <si>
    <t>UTCUBAMBA</t>
  </si>
  <si>
    <t>EL MILAGRO</t>
  </si>
  <si>
    <t>DIESEL B5,Diesel B5 S-50,GASOLINA 84,GASOLINA 90,TURBO A-1</t>
  </si>
  <si>
    <t>33744-048-131014</t>
  </si>
  <si>
    <t>HERCO COMBUSTIBLES S.A.</t>
  </si>
  <si>
    <t>AUTOPISTA PANAMERICANA SUR KM-33,5 ,PARCELA C-14A, LURIN, LURIN/LIMA/LIMA</t>
  </si>
  <si>
    <t>TERMINALES DEL PERÚ</t>
  </si>
  <si>
    <t>TERMINAL CALLAO.</t>
  </si>
  <si>
    <t>AV. NESTOR GAMBETTA N° 1265</t>
  </si>
  <si>
    <t>CALLAO</t>
  </si>
  <si>
    <t>Diesel B5 S-50,GASOHOL 84 PLUS,GASOHOL 90 PLUS,GASOHOL 95 PLUS,GASOHOL 97 PLUS,GASOLINA 84,GASOLINA 90,GASOLINA 95,GASOLINA 97</t>
  </si>
  <si>
    <t>33809-048-111218</t>
  </si>
  <si>
    <t>REPSOL COMERCIAL S.A.C.</t>
  </si>
  <si>
    <t>AV. VICTOR ANDRES BELAUNDE N° 147, EDIF. REAL V, 7° PISO, SAN ISIDRO/LIMA/LIMA</t>
  </si>
  <si>
    <t>DIESEL B5,Diesel B5 S-50,GASOHOL 84 PLUS,GASOHOL 90 PLUS,GASOHOL 95 PLUS,GASOLINA 84,GASOLINA 90,GASOLINA 95,PETRÓLEO INDUSTRIAL Nº 6</t>
  </si>
  <si>
    <t>151140-048-191020</t>
  </si>
  <si>
    <t>ENERGIGAS S.A.C.</t>
  </si>
  <si>
    <t>AV. SANTO TORIBIO N° 173 OF. 502, SAN ISIDRO/LIMA/LIMA</t>
  </si>
  <si>
    <t>PLANTA DE ABASTECIMIENTO SALAVERRY</t>
  </si>
  <si>
    <t>CALLE FELIPE SANTIAGO SALAVERRY N° 100 Y 102 (JR PACASMAYO N° 16)</t>
  </si>
  <si>
    <t>Diesel B5 S-50,GASOHOL 84 PLUS,GASOHOL 90 PLUS,GASOHOL 95 PLUS</t>
  </si>
  <si>
    <t>33806-048-061119</t>
  </si>
  <si>
    <t>REFINERIA LA PAMPILLA S.A.A</t>
  </si>
  <si>
    <t>PETRÓLEOS DEL PERÚ - PETROPERÚ S.A</t>
  </si>
  <si>
    <t>PLANTA DE VENTAS JULIACA</t>
  </si>
  <si>
    <t>URB. TAPARACHI, KM. 2.5 CARRETERA JULIACA-PUNO</t>
  </si>
  <si>
    <t>PUNO</t>
  </si>
  <si>
    <t>SAN ROMAN</t>
  </si>
  <si>
    <t>JULIACA</t>
  </si>
  <si>
    <t>Diesel B5 S-50,GASOHOL 84 PLUS,GASOLINA 84</t>
  </si>
  <si>
    <t>107595-048-100718</t>
  </si>
  <si>
    <t>NUMAY SOCIEDAD ANONIMA</t>
  </si>
  <si>
    <t>AV REPUBLICA DE PANAMA 3591 OF 302, SAN ISIDRO/LIMA/LIMA</t>
  </si>
  <si>
    <t>CONSORCIO TERMINALES</t>
  </si>
  <si>
    <t>PLANTA DE VENTAS CUSCO</t>
  </si>
  <si>
    <t>OSCOLLOPAMPA S/N.</t>
  </si>
  <si>
    <t>CUSCO</t>
  </si>
  <si>
    <t>SAN JERONIMO</t>
  </si>
  <si>
    <t>142292-048-080419</t>
  </si>
  <si>
    <t xml:space="preserve">INDIGO ENERGIA DEL PERU S.A.C. </t>
  </si>
  <si>
    <t>AV. PARDO Y ALIAGA N°676, INT. 806, CALLAO/PROV. CONST. DEL CALLAO/PROV. CONST. DEL CALLAO</t>
  </si>
  <si>
    <t>PURE BIOFUELS DEL PERU S.A.C.</t>
  </si>
  <si>
    <t>PLANTA DE ABASTECIMIENTO PURE BIOFUELS DEL PERU</t>
  </si>
  <si>
    <t>AV. NESTOR GAMBETA KM. 11.5 MZ. B LT. 2 FUNDO MARQUEZ</t>
  </si>
  <si>
    <t>Diesel B5 S-50</t>
  </si>
  <si>
    <t>150012-048-220720</t>
  </si>
  <si>
    <t>PHOENINCA PERU S.R.L.</t>
  </si>
  <si>
    <t>AV. CIRCUNVALACIÓN DEL CLUB GOLF DE LOS INCAS N° 134, TORRE 2, OFICINA N° 805, SANTIAGO DE SURCO/LIMA/LIMA</t>
  </si>
  <si>
    <t>AV. BREA Y PARIÑAS KM 421</t>
  </si>
  <si>
    <t>151041-048-191020</t>
  </si>
  <si>
    <t>AV. SANTO TORIBIO 173 OF. 502, SAN ISIDRO/LIMA/LIMA</t>
  </si>
  <si>
    <t>PETROLEOS DEL PERU S.A. - PETROPERU S.A.</t>
  </si>
  <si>
    <t>PLANTA DE ABASTECIMIENTO PIURA</t>
  </si>
  <si>
    <t>CARRETERA PANAMERICANA NORTE KM. 4.38</t>
  </si>
  <si>
    <t>VEINTISEIS DE OCTUBRE</t>
  </si>
  <si>
    <t>Diesel B5 S-50,GASOHOL 84 PLUS,GASOHOL 90 PLUS</t>
  </si>
  <si>
    <t>34094-048-301016</t>
  </si>
  <si>
    <t>PUMA ENERGY PERU S.A.C.</t>
  </si>
  <si>
    <t>AV. SANTO TORIBIO N° 173, URB. EL ROSARIO, EDIFICIO REAL 8, PISO 4, SAN ISIDRO/LIMA/LIMA</t>
  </si>
  <si>
    <t>TERMINAL ETEN</t>
  </si>
  <si>
    <t>CARRETERA PLAYA LOBOS KM.5</t>
  </si>
  <si>
    <t>LAMBAYEQUE</t>
  </si>
  <si>
    <t>CHICLAYO</t>
  </si>
  <si>
    <t>ETEN PUERTO</t>
  </si>
  <si>
    <t>DIESEL B5,Diesel B5 S-50,GASOHOL 84 PLUS,GASOHOL 90 PLUS,GASOLINA 84,GASOLINA 90,PETRÓLEO INDUSTRIAL Nº 500,PETRÓLEO INDUSTRIAL Nº 6</t>
  </si>
  <si>
    <t>147725-048-211119</t>
  </si>
  <si>
    <t>HIDROCARBUROS DEL MUNDO S.A.C.-HIDROMUNDO S.A.C.</t>
  </si>
  <si>
    <t>AV. BENAVIDES Nº 620 INT. 703, VENTANILLA/PROV. CONST. DEL CALLAO/PROV. CONST. DEL CALLAO</t>
  </si>
  <si>
    <t>PLANTA DE ABASTECIMIENTO PBF VALERO</t>
  </si>
  <si>
    <t>KM.11.5 DE LA AV. NESTOR MANZANA B LT 2 FUNDO MARQUEZ- PROVINCIA CONSTITUCIONAL DEL CALLAO- PLANTA PBF VALERO</t>
  </si>
  <si>
    <t>Diesel B5 S-50,GASOHOL 90 PLUS,GASOHOL 95 PLUS,GASOHOL 97 PLUS</t>
  </si>
  <si>
    <t>112602-048-220617</t>
  </si>
  <si>
    <t xml:space="preserve">CORPORACION PRIMAX S.A. </t>
  </si>
  <si>
    <t>AV. CIRCUNVALACIÓN DEL CLUB GOLF LOS INCAS N° 134 TORRE 1 PISO 18, SANTIAGO DE SURCO/LIMA/LIMA</t>
  </si>
  <si>
    <t>TERMINAL CHIMBOTE</t>
  </si>
  <si>
    <t>DIESEL B5,Diesel B5 S-50,GASOHOL 84 PLUS,GASOHOL 90 PLUS,PETRÓLEO INDUSTRIAL Nº 500,PETRÓLEO INDUSTRIAL Nº 6</t>
  </si>
  <si>
    <t>33782-048-040216</t>
  </si>
  <si>
    <t>PETROLEOS DEL PERU - PETROPERU S.A.</t>
  </si>
  <si>
    <t>DIESEL B5,Diesel B5 S-50,GASOLINA 84,GASOLINA 90,PETRÓLEO INDUSTRIAL Nº 500</t>
  </si>
  <si>
    <t>105608-048-120718</t>
  </si>
  <si>
    <t>NUMAY S.A.</t>
  </si>
  <si>
    <t>AV. REPUBLICA DE PANAMÁ N° 3591. OF. 302, SAN ISIDRO/LIMA/LIMA</t>
  </si>
  <si>
    <t>CARRETERA PLAYA LOS LOBOS KM 05</t>
  </si>
  <si>
    <t>DIESEL B5,GASOHOL 84 PLUS,GASOHOL 90 PLUS,GASOHOL 95 PLUS,PETRÓLEO INDUSTRIAL Nº 6</t>
  </si>
  <si>
    <t>109671-048-121119</t>
  </si>
  <si>
    <t xml:space="preserve">REPSOL COMERCIAL S.A.C. </t>
  </si>
  <si>
    <t>AV. VÍCTOR A. BELAÚNDE 147 VÍA PRINCIPAL 110 TORRE REAL V PISO 3 , SAN ISIDRO/LIMA/LIMA</t>
  </si>
  <si>
    <t>URB. TAPARACHI KM 2.5</t>
  </si>
  <si>
    <t>33805-048-121119</t>
  </si>
  <si>
    <t xml:space="preserve">OSCOLLOPAMPA S/N </t>
  </si>
  <si>
    <t>33811-048-251119</t>
  </si>
  <si>
    <t>AV. VICTOR ANDRES BELAUNDE N° 147 INT. 301, EDIFICIO REAL 5, SAN ISIDRO/LIMA/LIMA</t>
  </si>
  <si>
    <t>AV. BREA Y PARIÑAS URB. TRAPECIO ALT. KM. 421</t>
  </si>
  <si>
    <t>33814-048-141119</t>
  </si>
  <si>
    <t>TERMINALES DELPERU</t>
  </si>
  <si>
    <t>CARRETERA PLAYA LOBOS S/N</t>
  </si>
  <si>
    <t>DIESEL B5,Diesel B5 S-50,GASOHOL 84 PLUS,GASOHOL 90 PLUS,GASOLINA 84,GASOLINA 90</t>
  </si>
  <si>
    <t>143017-048-201020</t>
  </si>
  <si>
    <t>CARRETERA PLAYA LOBOS KM 5 - ETEN</t>
  </si>
  <si>
    <t>117706-048-130616</t>
  </si>
  <si>
    <t>CALLE MONTEROSA N° 270 URB. CHACARILLA DEL ESTANQUE, MAGDALENA DEL MAR/LIMA/LIMA</t>
  </si>
  <si>
    <t>-</t>
  </si>
  <si>
    <t>DIESEL B5,GASOLINA 84,GASOLINA 95,GASOLINA 97</t>
  </si>
  <si>
    <t>103519-048-011014</t>
  </si>
  <si>
    <t>CINQUE TERRE SUCURSAL DEL PERU</t>
  </si>
  <si>
    <t>CALLE MONTE GRANDE N° 109 OF 402, CHACARILLA DEL ESTANQUE, SANTIAGO DE SURCO/LIMA/LIMA</t>
  </si>
  <si>
    <t>TERMINAL CALLAO</t>
  </si>
  <si>
    <t>33802-048-200116</t>
  </si>
  <si>
    <t xml:space="preserve">REFINERIA LA PAMPILLA S.A.A. </t>
  </si>
  <si>
    <t>CARRETERA PLAYA LOBOS KM. 5</t>
  </si>
  <si>
    <t>ETEN</t>
  </si>
  <si>
    <t>0003-DMAY-15-2005</t>
  </si>
  <si>
    <t>HERCO COMBUSTIBLES S.A. - PLANTA DE VENTAS CONCHAN</t>
  </si>
  <si>
    <t>KM. 33.5 PANAMERICANA SUR, PARCELA C-14 A, LURIN/LIMA/LIMA</t>
  </si>
  <si>
    <t>PETROPERU S.A.</t>
  </si>
  <si>
    <t>PLANTA DE VENTAS REFINERIA CONCHAN</t>
  </si>
  <si>
    <t>PLANTA DE VENTAS CONCHAN - PETROPERU</t>
  </si>
  <si>
    <t>LURIN</t>
  </si>
  <si>
    <t>DIESEL B2,GASOLINA 84,GASOLINA 90,GASOLINA 95,GASOLINA 97,PETRÓLEO INDUSTRIAL Nº 500,PETRÓLEO INDUSTRIAL Nº 6</t>
  </si>
  <si>
    <t>107963-048-191118</t>
  </si>
  <si>
    <t>AV. SANTO TORIBIO N° 173, URB. EL ROSARIO, EDIFICIO REAL 8, PISO 4, SANTIAGO DE SURCO/LIMA/LIMA</t>
  </si>
  <si>
    <t>PLANTA DE ABASTECIMIENTO CALLAO</t>
  </si>
  <si>
    <t>Diesel B5 S-50,GASOHOL 84 PLUS,GASOHOL 90 PLUS,GASOHOL 95 PLUS,GASOHOL 97 PLUS,PETRÓLEO INDUSTRIAL Nº 500,PETRÓLEO INDUSTRIAL Nº 6,TURBO A-1</t>
  </si>
  <si>
    <t>149641-048-190720</t>
  </si>
  <si>
    <t>AV. CIRCUNVALACION DEL CLUB GOLF DE LOS INCAS N° 134, TORRE 2, OFICINA N° 805, SANTIAGO DE SURCO/LIMA/LIMA</t>
  </si>
  <si>
    <t>Diesel B5 S-50,GASOHOL 84 PLUS,GASOHOL 90 PLUS,GASOHOL 95 PLUS,PETRÓLEO INDUSTRIAL Nº 6</t>
  </si>
  <si>
    <t>149801-048-130720</t>
  </si>
  <si>
    <t xml:space="preserve">CARRETERA PLAYA LOBOS KM 5 </t>
  </si>
  <si>
    <t>Diesel B5 S-50,GASOHOL 84 PLUS,GASOHOL 90 PLUS,GASOLINA 84,GASOLINA 90</t>
  </si>
  <si>
    <t>140291-048-161219</t>
  </si>
  <si>
    <t>GLOBAL FUEL S.A.</t>
  </si>
  <si>
    <t>AV. REPUBLICA DE PANAMA 3535 OFICINA 803, SAN ISIDRO/LIMA/LIMA</t>
  </si>
  <si>
    <t>TERMINAL PISCO</t>
  </si>
  <si>
    <t>CARRETERA PARACAS KM 11.5</t>
  </si>
  <si>
    <t>ICA</t>
  </si>
  <si>
    <t>PISCO</t>
  </si>
  <si>
    <t>SAN ANDRES</t>
  </si>
  <si>
    <t>DIESEL B5,Diesel B5 S-50,GASOHOL 84 PLUS,GASOHOL 90 PLUS,GASOHOL 95 PLUS,GASOLINA 84,GASOLINA 90,GASOLINA 95,PETRÓLEO INDUSTRIAL Nº 500</t>
  </si>
  <si>
    <t>112492-048-170617</t>
  </si>
  <si>
    <t>CORPORACION PRIMAX S.A.</t>
  </si>
  <si>
    <t>AV. NICOLAS ARRIOLA N° 740, LA VICTORIA/LIMA/LIMA</t>
  </si>
  <si>
    <t>AV. NESTOR GAMBETA N° 1265</t>
  </si>
  <si>
    <t>Diesel B5 S-50,GASOHOL 84 PLUS,GASOHOL 90 PLUS,GASOHOL 95 PLUS,GASOHOL 97 PLUS</t>
  </si>
  <si>
    <t>125534-048-050620</t>
  </si>
  <si>
    <t>HIDROCARBUROS DEL MUNDO S.A.C. – HIDROMUNDO S.A.C.</t>
  </si>
  <si>
    <t>AV. BENAVIDES N° 620 INT. 703, MIRAFLORES/LIMA/LIMA</t>
  </si>
  <si>
    <t>PLANTA DE VENTAS REFINERIA TALARA</t>
  </si>
  <si>
    <t>ZONA INDUSTRIAL TALARA ALTA</t>
  </si>
  <si>
    <t>125524-048-040320</t>
  </si>
  <si>
    <t>AV. BENAVIDES NRO. 620, INT. 703, MIRAFLORES/LIMA/LIMA</t>
  </si>
  <si>
    <t>PLANTA DE ABASTECIMIENTO SUPE</t>
  </si>
  <si>
    <t>CALLE CALLAO NRO. 445-460</t>
  </si>
  <si>
    <t>DIESEL B5,Diesel B5 S-50,GASOHOL 84 PLUS,GASOHOL 90 PLUS</t>
  </si>
  <si>
    <t>104323-048-120718</t>
  </si>
  <si>
    <t>AV. REPUBLICA DE PANAMÁ N° 3591, INT. 302, SAN ISIDRO/LIMA/LIMA</t>
  </si>
  <si>
    <t>PETROLEOS DEL PERÚ S.A.</t>
  </si>
  <si>
    <t>PLANTA DE ABASTECIMIENTO CONCHAN</t>
  </si>
  <si>
    <t>ANTIGUA PANAMERICANA SUR KM. 26.5</t>
  </si>
  <si>
    <t>DIESEL B5,GASOHOL 84 PLUS,GASOHOL 90 PLUS,GASOHOL 95 PLUS,GASOHOL 97 PLUS,GASOLINA 84,GASOLINA 90,PETRÓLEOS INDUSTRIALES</t>
  </si>
  <si>
    <t>33816-048-100720</t>
  </si>
  <si>
    <t>AV. VICTOR ANDRES BELAUNDE N° 147, 301, EDIFICIO REAL 5, SAN ISIDRO/LIMA/LIMA</t>
  </si>
  <si>
    <t>PLANTA DE ABASTECIMIENTO REFINERÍA TALARA</t>
  </si>
  <si>
    <t>DIESEL B5,Diesel B5 S-50,GASOHOL 84 PLUS,GASOHOL 90 PLUS,GASOHOL 95 PLUS</t>
  </si>
  <si>
    <t>33801-048-130418</t>
  </si>
  <si>
    <t>TEMINALES DEL PERU</t>
  </si>
  <si>
    <t>112772-048-280920</t>
  </si>
  <si>
    <t>AV. CIRCUNVALACION DEL CLUB GOLF LOS INCAS NRO. 134 URB. CLUB EL GOLF LOS INCAS (EDIFICIO PANORAMA - TORRE 1 PISO 18), SANTIAGO DE SURCO/LIMA/LIMA</t>
  </si>
  <si>
    <t>PETRÓLEOS DEL PERÚ - PETROPERÚ S.A.</t>
  </si>
  <si>
    <t>CARRETERA TAPARACHI S/N</t>
  </si>
  <si>
    <t>Diesel B5 S-50,GASOHOL 84 PLUS</t>
  </si>
  <si>
    <t>140290-048-141218</t>
  </si>
  <si>
    <t>GLOBAL FUEL SOCIEDAD ANONIMA</t>
  </si>
  <si>
    <t>AV. REPÚBLICA DE PANAMÁ 3535 OFICINA 803, SUPE PUERTO/BARRANCA/LIMA</t>
  </si>
  <si>
    <t xml:space="preserve">CALLE CALLAO 445-460 NUEVA VICTORIA </t>
  </si>
  <si>
    <t>DIESEL B5,Diesel B5 S-50,GASOHOL 84 PLUS,GASOHOL 90 PLUS,PETRÓLEO INDUSTRIAL Nº 500</t>
  </si>
  <si>
    <t>33815-048-100720</t>
  </si>
  <si>
    <t xml:space="preserve">PETROLEOS DEL PERU S.A. - PETROPERU S.A. </t>
  </si>
  <si>
    <t>CARRETERA PANAMERICANA KM. 4.38</t>
  </si>
  <si>
    <t>33810-048-131119</t>
  </si>
  <si>
    <t>AV. VICTOR ANDRES BELAUNDE N° 147, INT. 301, EDIFICIO REAL 5, SAN ISIDRO/LIMA/LIMA</t>
  </si>
  <si>
    <t>CALLE CALLAO N° 445-460 NUEVA VICTORIA</t>
  </si>
  <si>
    <t>DIESEL B5,Diesel B5 S-50,GASOHOL 84 PLUS,GASOHOL 90 PLUS,GASOLINA 84,GASOLINA 90,PETRÓLEO INDUSTRIAL Nº 500</t>
  </si>
  <si>
    <t>149760-048-240620</t>
  </si>
  <si>
    <t>AV. CIRCUNVALACIÓN DEL CLUB GOLF DE LOS INCAS N° 134 TORRE 2, OFICINA N° 805, SANTIAGO DE SURCO/LIMA/LIMA</t>
  </si>
  <si>
    <t>TERMINAL MOLLENDO</t>
  </si>
  <si>
    <t>CALLE APURIMAC N° 401</t>
  </si>
  <si>
    <t>AREQUIPA</t>
  </si>
  <si>
    <t>ISLAY</t>
  </si>
  <si>
    <t>MOLLENDO</t>
  </si>
  <si>
    <t>151237-048-261020</t>
  </si>
  <si>
    <t>AV. BREA Y PARIÑAS S/N</t>
  </si>
  <si>
    <t>Diesel B5 S-50,GASOHOL 90 PLUS</t>
  </si>
  <si>
    <t>33800-048-111119</t>
  </si>
  <si>
    <t>REFINERIA LA PAMPILLA S.A.A. - RELAPASAA</t>
  </si>
  <si>
    <t>Diesel B5 S-50,GASOHOL 84 PLUS,GASOHOL 90 PLUS,GASOLINA 84,GASOLINA 90,PETRÓLEO INDUSTRIAL Nº 500,PETRÓLEO INDUSTRIAL Nº 6</t>
  </si>
  <si>
    <t>142722-048-030519</t>
  </si>
  <si>
    <t>ATLANTIC NEW PETROL S.A.C.</t>
  </si>
  <si>
    <t>CALLE TOMAS MARSANO N° 3634 OFICINA 301, SANTIAGO DE SURCO/LIMA/LIMA</t>
  </si>
  <si>
    <t>PLANTA DE ABASTECIMIENTO LA PAMPILLA</t>
  </si>
  <si>
    <t>Diesel B5 S-50,GASOHOL 84 PLUS,GASOHOL 90 PLUS,GASOHOL 95 PLUS,GASOHOL 97 PLUS,PETRÓLEO INDUSTRIAL Nº 500,PETRÓLEO INDUSTRIAL Nº 6</t>
  </si>
  <si>
    <t>33784-048-070116</t>
  </si>
  <si>
    <t>PETROLEOS DEL PERU - PETROPERU S.A. - TERMINAL MOLLENDO</t>
  </si>
  <si>
    <t>TERMINAL MOLENDO</t>
  </si>
  <si>
    <t>AV. APURIMAC N° 401</t>
  </si>
  <si>
    <t>Diesel B5 S-50,GASOHOL 84 PLUS,GASOHOL 90 PLUS,PETRÓLEO INDUSTRIAL Nº 500,PETRÓLEO INDUSTRIAL Nº 6,TURBO A-1</t>
  </si>
  <si>
    <t>149878-048-040720</t>
  </si>
  <si>
    <t>PETRÓLEOS DEL PERÚ – PETROPERÚ S.A.</t>
  </si>
  <si>
    <t>TERMINAL ILO</t>
  </si>
  <si>
    <t>LINO URQUIETA S/N</t>
  </si>
  <si>
    <t>MOQUEGUA</t>
  </si>
  <si>
    <t>ILO</t>
  </si>
  <si>
    <t>Diesel B5 S-50,GASOHOL 84 PLUS,GASOHOL 95 PLUS</t>
  </si>
  <si>
    <t>33793-048-250214</t>
  </si>
  <si>
    <t>PETROLEOS DEL PERU - PETROPERU S.A. - PLANTA DE VENTAS CONCHAN</t>
  </si>
  <si>
    <t>AV. PASEO DE LA REPUBLICA N° 3361, SAN ISIDRO, LIMA, SAN ISIDRO/LIMA/LIMA</t>
  </si>
  <si>
    <t>PLANTA DE ABASTECIMIENTO REFINERÍA CONCHAN</t>
  </si>
  <si>
    <t>COMBUSTIBLES RESIDUALES DE USO MARINO,DIESEL 2,DIESEL B5,DIESEL MARINO N° 2,Diesel B5 S-50,GASOHOL 84 PLUS,GASOHOL 90 PLUS,GASOHOL 95 PLUS,GASOHOL 97 PLUS,GASOLINA 84,GASOLINA 90,GASOLINA 95,GASOLINA 97,PETRÓLEO INDUSTRIAL Nº 4,PETRÓLEO INDUSTRIAL Nº 5,PETRÓLEO INDUSTRIAL Nº 500,PETRÓLEO INDUSTRIAL Nº 6,TURBO A-1</t>
  </si>
  <si>
    <t>149633-048-060720</t>
  </si>
  <si>
    <t>AV CIRCUNVALACION DEL CLUB GOLF DE LOS INCAS N° 134 TORRE 2 OFICINA N°805, SANTIAGO DE SURCO/LIMA/LIMA</t>
  </si>
  <si>
    <t>CARRETERA PANAMERICANA SUR KM. 11.5</t>
  </si>
  <si>
    <t>125526-048-120220</t>
  </si>
  <si>
    <t>AV. BENAVIDES N° 620 INTERIOR N° 703, MIRAFLORES/LIMA/LIMA</t>
  </si>
  <si>
    <t>105613-048-110718</t>
  </si>
  <si>
    <t>AV REPUBLICA DE PANAMA 3591 OF 302, ILO/ILO/MOQUEGUA</t>
  </si>
  <si>
    <t>PLANTA DE ABASTECIMIENTO ILO</t>
  </si>
  <si>
    <t>LINO UQUIETA S/N</t>
  </si>
  <si>
    <t>DIESEL B5,Diesel B5 S-50,GASOHOL 95 PLUS,PETRÓLEO INDUSTRIAL Nº 6</t>
  </si>
  <si>
    <t>113814-048-041116</t>
  </si>
  <si>
    <t>AV. VICTOR ANDRES BELAUNDE N° 147, VIA PRINCIPAL N° 110 TORRE REAL 5, PISO 10, SAN ISIDRO/LIMA/LIMA</t>
  </si>
  <si>
    <t>AV. NÉSTOR GAMBETA N° 1265</t>
  </si>
  <si>
    <t>DIESEL B5,Diesel B5 S-50,TURBO A-1</t>
  </si>
  <si>
    <t>34096-048-211016</t>
  </si>
  <si>
    <t xml:space="preserve">PUMA ENERGY PERU S.A.C. </t>
  </si>
  <si>
    <t>AV. SANTO TORIBIO N° 173 EDIFICIO REAL 8 PISO 4, URB. EL ROSARIO, SAN ISIDRO/LIMA/LIMA</t>
  </si>
  <si>
    <t>Diesel B5 S-50,GASOHOL 84 PLUS,GASOHOL 90 PLUS,GASOLINA 84,GASOLINA 90,PETRÓLEO INDUSTRIAL Nº 500</t>
  </si>
  <si>
    <t>147841-048-211020</t>
  </si>
  <si>
    <t xml:space="preserve">VALERO PERU S.A.C. </t>
  </si>
  <si>
    <t>PLANTA DE ABASTECIMIENTO COMBUSTIBLES LIQUIDOS</t>
  </si>
  <si>
    <t>KM. 11.5 DE LA AV. NESTOR GAMBETTA MZ. B LOTE 2 FUNDO MARQUEZ</t>
  </si>
  <si>
    <t>DIESEL B5,Diesel B5 S-50,GASOHOL 84 PLUS,GASOHOL 90 PLUS,GASOHOL 95 PLUS,GASOHOL 97 PLUS</t>
  </si>
  <si>
    <t>33804-048-061119</t>
  </si>
  <si>
    <t>AV. LINO URQUIETA S/N</t>
  </si>
  <si>
    <t>Diesel B5 S-50,GASOHOL 95 PLUS</t>
  </si>
  <si>
    <t>148169-048-181020</t>
  </si>
  <si>
    <t>AV. CIRCUNVALACION DEL CLUB GOLF LOS INCAS N° 134, SANTIAGO DE SURCO/LIMA/LIMA</t>
  </si>
  <si>
    <t>PURE BIOFUELS DEL PERÚ S.A.C.</t>
  </si>
  <si>
    <t>PLANTA DE ABASTECIMIENTO PURE BIOFUELS</t>
  </si>
  <si>
    <t>AV. NESTOR GAMBETTA KM 11.5 - LOTE B-2</t>
  </si>
  <si>
    <t>107630-048-131119</t>
  </si>
  <si>
    <t>AV. VICTOR ANDRES BELAUNDE N° 147 INT. 301 EDIFICIO REAL 5, SAN ISIDRO/LIMA/LIMA</t>
  </si>
  <si>
    <t>DIESEL B5,Diesel B5 S-50</t>
  </si>
  <si>
    <t>104273-048-120718</t>
  </si>
  <si>
    <t>AV. REPUBLICA DE PANAMÁ N° 3591. INT. 302, LA MOLINA/LIMA/LIMA</t>
  </si>
  <si>
    <t>VOPAK PERÚ S.A.</t>
  </si>
  <si>
    <t>DIESEL MARINO N° 2,Diesel B5 S-50,GASOHOL 84 PLUS,GASOHOL 90 PLUS,GASOHOL 95 PLUS,GASOHOL 97 PLUS,IFO - 380,PETRÓLEO INDUSTRIAL Nº 6</t>
  </si>
  <si>
    <t>140491-048-221020</t>
  </si>
  <si>
    <t>AV. SANTO TORIBIO NRO. 173, OF. 502, SAN ISIDRO/LIMA/LIMA</t>
  </si>
  <si>
    <t>DIESEL B5,DIESEL MARINO N° 2,Diesel B5 S-50,GASOHOL 84 PLUS,GASOHOL 90 PLUS,GASOHOL 95 PLUS,GASOHOL 97 PLUS</t>
  </si>
  <si>
    <t>33808-048-111119</t>
  </si>
  <si>
    <t>AV. MARIANO LINO URQUIETA N° 1003</t>
  </si>
  <si>
    <t>112603-048-141119</t>
  </si>
  <si>
    <t>CARRETERA PARACAS N° 11.5, SAN ANDRES/PISCO/ICA</t>
  </si>
  <si>
    <t>PETROLEOS DEL PERÚ - PETROPERÚ S.A.</t>
  </si>
  <si>
    <t>CARRETERA A PARACAS KM 11.5</t>
  </si>
  <si>
    <t>DIESEL B5,Diesel B5 S-50,GASOHOL 84 PLUS,GASOHOL 90 PLUS,GASOHOL 95 PLUS,PETRÓLEO INDUSTRIAL Nº 500</t>
  </si>
  <si>
    <t>115287-048-260220</t>
  </si>
  <si>
    <t>AV. CIRCUNVALACIÓN DEL CLUB GOLF LOS INCAS 134, TORRE 1 PISO 18, VENTANILLA/PROV. CONST. DEL CALLAO/PROV. CONST. DEL CALLAO</t>
  </si>
  <si>
    <t>KM. 25 DE LA CARRETERA A VENTANILLA</t>
  </si>
  <si>
    <t>DIESEL B5,Diesel B5 S-50,GASOHOL 84 PLUS,GASOHOL 90 PLUS,GASOHOL 95 PLUS,GASOHOL 97 PLUS,GASOLINA 84,GASOLINA 90,GASOLINA 95,GASOLINA 97,PETRÓLEO INDUSTRIAL Nº 500,PETRÓLEO INDUSTRIAL Nº 6</t>
  </si>
  <si>
    <t>140288-048-121218</t>
  </si>
  <si>
    <t>AV. REPUBLICA DE PANAMA 3535 OFICINA 803, CHIMBOTE/SANTA/ANCASH</t>
  </si>
  <si>
    <t>Diesel B5 S-50,GASOHOL 84 PLUS,GASOHOL 90 PLUS,PETRÓLEO INDUSTRIAL Nº 500,PETRÓLEO INDUSTRIAL Nº 6</t>
  </si>
  <si>
    <t>33803-048-051119</t>
  </si>
  <si>
    <t>REFINERIA LA PAMPILLA S.A.A.-RELAPASA</t>
  </si>
  <si>
    <t>CARRETERA PARACAS N° 11.5</t>
  </si>
  <si>
    <t>33812-048-131119</t>
  </si>
  <si>
    <t>AV. VÍCTOR ANDRÉS BELAÚNDE N° 147, INT. 301, EDIFICIO REAL 5, SAN ISIDRO/LIMA/LIMA</t>
  </si>
  <si>
    <t>112621-048-270617</t>
  </si>
  <si>
    <t>AV. NICOLAS ARRIOLA N° 740 , LA VICTORIA/LIMA/LIMA</t>
  </si>
  <si>
    <t>CALLE CALLAO N° 445 – 460, NUEVA VICTORIA</t>
  </si>
  <si>
    <t>SUPE</t>
  </si>
  <si>
    <t>125540-048-310120</t>
  </si>
  <si>
    <t>AV. BENAVIDES N° 620 INT. 703 , ILO/ILO/MOQUEGUA</t>
  </si>
  <si>
    <t>119829-048-051218</t>
  </si>
  <si>
    <t>AV. RICARDO RIVIERA NAVARRETE 501 OF 1602, SAN ISIDRO/LIMA/LIMA</t>
  </si>
  <si>
    <t>DIESEL B5,GASOHOL 84 PLUS,GASOHOL 90 PLUS,GASOLINA 84,GASOLINA 90</t>
  </si>
  <si>
    <t>39511-048-290618</t>
  </si>
  <si>
    <t>PETROLEOS DE AMERICA S.A.</t>
  </si>
  <si>
    <t>AV. 28 DE JULIO N° 554, MIRAFLORES/LIMA/LIMA</t>
  </si>
  <si>
    <t>Diesel B5 S-50,GASOHOL 84 PLUS,GASOHOL 95 PLUS,GASOLINA 84,GASOLINA 95,PETRÓLEO INDUSTRIAL Nº 6</t>
  </si>
  <si>
    <t>125541-048-180220</t>
  </si>
  <si>
    <t>AV. BENAVIDES N° 620, INT. 703, MIRAFLORES/LIMA/LIMA</t>
  </si>
  <si>
    <t>PETRÓLEOS DEL PERÚ-PETROPERU S.A.</t>
  </si>
  <si>
    <t>39456-048-270418</t>
  </si>
  <si>
    <t>PETROLEOS DE AMERICA S.A. - MOLLENDO</t>
  </si>
  <si>
    <t>PLANTA DE ABASTECIMIENTO TERMINAL MOLLENDO, MOLLENDO/ISLAY/AREQUIPA</t>
  </si>
  <si>
    <t>AV. 28 DE JULIO NRO. 554 URB. LEURO</t>
  </si>
  <si>
    <t>125535-048-261219</t>
  </si>
  <si>
    <t>PETRÓLEOS DEL PERÚ- PETROPERÚ S.A.</t>
  </si>
  <si>
    <t>AV. NESTOR GAMBETA NRO. 1265</t>
  </si>
  <si>
    <t>33781-048-020616</t>
  </si>
  <si>
    <t>DIESEL B5,GASOHOL 84 PLUS,GASOHOL 90 PLUS,GASOLINA 84,PETRÓLEO INDUSTRIAL Nº 500,PETRÓLEO INDUSTRIAL Nº 6</t>
  </si>
  <si>
    <t>112566-048-141119</t>
  </si>
  <si>
    <t>AV. CIRCUNVALACION DEL CLUB GOLF LOS INCAS 134 TORRE 1 PISO 18, SANTIAGO DE SURCO/LIMA/LIMA</t>
  </si>
  <si>
    <t>119823-048-121218</t>
  </si>
  <si>
    <t xml:space="preserve">PURE BIOFUELS DEL PERU S.A.C. </t>
  </si>
  <si>
    <t>AV. RICARDO RIVERA NAVARRETE N° 501 OFICINA 1602, SAN ISIDRO/LIMA/LIMA</t>
  </si>
  <si>
    <t>125537-048-060220</t>
  </si>
  <si>
    <t>HIDROCARBUROS DEL MUNDO SAC - HIDROMUNDO SAC</t>
  </si>
  <si>
    <t>AV. BENAVIDES NRO. 620 INT. 703, MIRAFLORES/LIMA/LIMA</t>
  </si>
  <si>
    <t>CARRETERA PARACAS KM. 11.5</t>
  </si>
  <si>
    <t>138924-048-151018</t>
  </si>
  <si>
    <t>AV. REPUBLICA DE PANAMA N° 3591 OFICINA 401, CALLAO/PROV. CONST. DEL CALLAO/PROV. CONST. DEL CALLAO</t>
  </si>
  <si>
    <t>AV. NESTROR GAMBETA 1265 ZONA INDUSTRIAL CALLAO</t>
  </si>
  <si>
    <t>136367-048-120620</t>
  </si>
  <si>
    <t>MOBIL PETROLEUM OVERSEAS COMPANY LIMITED, SUCURSAL DEL PERU</t>
  </si>
  <si>
    <t>AV. NESTOR GAMBETA N° 1265, CALLAO/PROV. CONST. DEL CALLAO/PROV. CONST. DEL CALLAO</t>
  </si>
  <si>
    <t>CALLE LAS GARZAS N° 220</t>
  </si>
  <si>
    <t>SAN ISIDRO</t>
  </si>
  <si>
    <t>Diesel B5 S-50,GASOHOL 90 PLUS,TURBO A-1</t>
  </si>
  <si>
    <t>105612-048-130718</t>
  </si>
  <si>
    <t>DIESEL B5,Diesel B5 S-50,GASOHOL 84 PLUS,GASOHOL 90 PLUS,GASOHOL 95 PLUS,PETRÓLEO INDUSTRIAL Nº 6</t>
  </si>
  <si>
    <t>122587-048-131219</t>
  </si>
  <si>
    <t>AV. CIRCUNVALACIÓN DEL CLUB GOLF DE LOS INCAS N° 134 TORRE 1, OFICINA 708, SANTIAGO DE SURCO/LIMA/LIMA</t>
  </si>
  <si>
    <t>DIESEL MARINO N° 2,Diesel B5 S-50,GASOHOL 90 PLUS,GASOHOL 95 PLUS,GASOHOL 97 PLUS,PETRÓLEO INDUSTRIAL Nº 500,PETRÓLEO INDUSTRIAL Nº 6</t>
  </si>
  <si>
    <t>33817-048-121219</t>
  </si>
  <si>
    <t>REPSOL COMERCIAL SAC</t>
  </si>
  <si>
    <t>AV. VICTOR ANDRES BELAUNDE NRO. 147 INT. 301 EDIFICIO REAL 5, SAN ISIDRO/LIMA/LIMA</t>
  </si>
  <si>
    <t>OSCOLLOPAMPA S/N</t>
  </si>
  <si>
    <t>PETROLEOS DEL PERU - PETROPERU S.A. - PLANTA DE VENTAS CUSCO</t>
  </si>
  <si>
    <t>Consorcio Terminales-GMT</t>
  </si>
  <si>
    <t>DIESEL B2,GASOLINA 84,TURBO A-1</t>
  </si>
  <si>
    <t>112541-048-240920</t>
  </si>
  <si>
    <t>119824-048-021219</t>
  </si>
  <si>
    <t>DIESEL B5,GASOHOL 84 PLUS,GASOHOL 90 PLUS,GASOHOL 95 PLUS,GASOLINA 84,GASOLINA 90,GASOLINA 95,PETRÓLEO INDUSTRIAL Nº 6</t>
  </si>
  <si>
    <t>144946-048-170919</t>
  </si>
  <si>
    <t>INDIGO ENERGIA DEL PERU S.A.C.</t>
  </si>
  <si>
    <t>AV. PARDO Y ALIAGA NRO. 676, INT. 806, LURIN/LIMA/LIMA</t>
  </si>
  <si>
    <t>HERCO COMBUSTIBLES S. A.</t>
  </si>
  <si>
    <t>PLANTA DE ABASTECIMIENTO DE COMBUSTIBLES LÍQUIDOS Y OTROS PRODUCTOS DERIVADOS DE LOS HIDROCARBUROS</t>
  </si>
  <si>
    <t>PANAMERICANA SUR KM. 33.5, PARCELA C-14A</t>
  </si>
  <si>
    <t>125527-048-180220</t>
  </si>
  <si>
    <t xml:space="preserve">HIDROCARBUROS DEL MUNDO S.A.C. </t>
  </si>
  <si>
    <t>CARRETERA PLAYA LOBOS KM 5</t>
  </si>
  <si>
    <t>33773-048-180418</t>
  </si>
  <si>
    <t>PERUANA DE COMBUSTIBLES S.A.</t>
  </si>
  <si>
    <t>AV REPUBLICA DE PANAMA 3542, SAN ISIDRO/LIMA/LIMA</t>
  </si>
  <si>
    <t>CALLE CORONEL ANDRES REYES N° 360, PISO 2</t>
  </si>
  <si>
    <t>104289-048-021116</t>
  </si>
  <si>
    <t>CONSORCIO TERMINALES - GMT</t>
  </si>
  <si>
    <t>145986-048-210819</t>
  </si>
  <si>
    <t>OLEODUCTO SUR DEL PERU S.A.C.</t>
  </si>
  <si>
    <t>JR. MONTERREY N°405 OF. 703 URB. CHACARILLA DEL ESTANQUE, CALLAO/PROV. CONST. DEL CALLAO/PROV. CONST. DEL CALLAO</t>
  </si>
  <si>
    <t xml:space="preserve">TERMINALES DEL PERU - AV. NESTOR GAMBETTA N° 1265 </t>
  </si>
  <si>
    <t>105922-048-120718</t>
  </si>
  <si>
    <t>NUMAY S.A</t>
  </si>
  <si>
    <t>AV REPUBLICA DE PANAMA. 3591. INT 302, SAN ISIDRO/LIMA/LIMA</t>
  </si>
  <si>
    <t>CALLE CALLAO 445-460- NUEVA VICTORIA</t>
  </si>
  <si>
    <t>138605-048-130120</t>
  </si>
  <si>
    <t xml:space="preserve">MOBIL PETROLEUM OVERSEAS COMPANY LIMITED, SUCURSAL DEL PERU </t>
  </si>
  <si>
    <t>CALLE LAS GARZAS N° 220 URBANIZACION LIMATAMBO, SAN ANDRES/PISCO/ICA</t>
  </si>
  <si>
    <t xml:space="preserve">CARRETERA A PARACAS KM 11.5 </t>
  </si>
  <si>
    <t>125530-048-261219</t>
  </si>
  <si>
    <t>HIDROCARBUROS DEL MUNDO S.A.C. - HIDROMUNDO S.A.C.</t>
  </si>
  <si>
    <t>AV. BENAVIDES N° 620, INTERIOR 703 (EDIFICIO ZAFIRO, A ½ CDRA. VÍA EXPRESA), MIRAFLORES/LIMA/LIMA</t>
  </si>
  <si>
    <t>PLANTA DE ABASTECIMIENTO CONCHÁN</t>
  </si>
  <si>
    <t>DIESEL B5,Diesel B5 S-50,GASOHOL 84 PLUS,GASOHOL 95 PLUS,GASOHOL 97 PLUS,GASOLINA 84,GASOLINA 90,GASOLINA 95,PETRÓLEO INDUSTRIAL Nº 500,PETRÓLEO INDUSTRIAL Nº 6</t>
  </si>
  <si>
    <t>39512-048-260418</t>
  </si>
  <si>
    <t>CALLE SAN MARTIN N 570, MIRAFLORES/LIMA/LIMA</t>
  </si>
  <si>
    <t>CONSORCIO TERMINALES-GMT</t>
  </si>
  <si>
    <t>MIRAFLORES</t>
  </si>
  <si>
    <t>105609-048-110718</t>
  </si>
  <si>
    <t>PLANTA DE ABASTECIMIENTO TERMINAL CHIMBOTE</t>
  </si>
  <si>
    <t>PETROPERU S.A. - DISTRIBUIDOR MAYORISTA PLANTA DE VENTAS YURIMAGUAS</t>
  </si>
  <si>
    <t>SERLIPSA VAN OMMEREN TERMINALS SA</t>
  </si>
  <si>
    <t>PLANTA DE VENTAS CERRO DE PASCO</t>
  </si>
  <si>
    <t>PLANTA DE VENTAS YURIMAGUAS</t>
  </si>
  <si>
    <t>LORETO</t>
  </si>
  <si>
    <t>ALTO AMAZONAS</t>
  </si>
  <si>
    <t>YURIMAGUAS</t>
  </si>
  <si>
    <t>DIESEL B2,GASOLINA 84,GASOLINA 90,PETRÓLEO INDUSTRIAL Nº 6</t>
  </si>
  <si>
    <t>PETROLEOS DEL PERU - PETROPERU S.A. - PLANTA DE VENTAS JULIACA</t>
  </si>
  <si>
    <t>DIESEL B2,GASOLINA 84</t>
  </si>
  <si>
    <t>125528-048-120520</t>
  </si>
  <si>
    <t>PLANTA DE VENTAS PIURA</t>
  </si>
  <si>
    <t>151071-048-271020</t>
  </si>
  <si>
    <t>AV SANTO TORIBIO 173 OF. Nº 502, SAN ISIDRO/LIMA/LIMA</t>
  </si>
  <si>
    <t>PETRÓLEOS DEL PERÚ - PETROPERU S.A.</t>
  </si>
  <si>
    <t>CALLE APURIMAC 401 TERMINAL MOLLENDO</t>
  </si>
  <si>
    <t>112565-048-141119</t>
  </si>
  <si>
    <t>CORPORACIÓN PRIMAX S.A.</t>
  </si>
  <si>
    <t>AV. CIRCUNVALACIÓN DEL CLUB GOLF LOS INCAS N° 134, TORRE 1 PISO 18, SANTIAGO DE SURCO/LIMA/LIMA</t>
  </si>
  <si>
    <t>138601-048-250918</t>
  </si>
  <si>
    <t>CALLE LAS GARZAS N°220, URB. LIMATAMBO, SUPE PUERTO/BARRANCA/LIMA</t>
  </si>
  <si>
    <t>CALLE CALLAO N°445-460, URB.NUEVA VICTORIA</t>
  </si>
  <si>
    <t>112542-048-270220</t>
  </si>
  <si>
    <t>CARRETERA PANAMERICANA NORTE KM 4.38</t>
  </si>
  <si>
    <t>125539-048-060320</t>
  </si>
  <si>
    <t>33780-048-111217</t>
  </si>
  <si>
    <t>AV. CANAVAL Y MOREYRA N° 150, SAN ISIDRO/LIMA/LIMA</t>
  </si>
  <si>
    <t>CALLE FELIPE SANTIAGO SALAVERRY N° 100</t>
  </si>
  <si>
    <t>33797-048-041219</t>
  </si>
  <si>
    <t>AV. VICTOR ANDRES BELAUNDE N° 147, VIA PRINCIPAL 110, EDIFICIO REAL 5 TERCER PISO, SAN ISIDRO/LIMA/LIMA</t>
  </si>
  <si>
    <t>REFINERÍA LA PAMPILLA S.A.A</t>
  </si>
  <si>
    <t>PLANTA DE ABASTECIMIENTO REFINERÍA LA PAMPILLA</t>
  </si>
  <si>
    <t>CARRETERA VENTANILLA KM. 25</t>
  </si>
  <si>
    <t>DIESEL B5,GASOHOL 84 PLUS,GASOHOL 90 PLUS,GASOHOL 95 PLUS,GASOHOL 97 PLUS,GASOHOL 98 PLUS,GASOLINA 84,GASOLINA 90,GASOLINA 95,GASOLINA 97,GASOLINA 98,PETRÓLEO INDUSTRIAL Nº 500,PETRÓLEO INDUSTRIAL Nº 6,TURBO A-1</t>
  </si>
  <si>
    <t>119825-048-081218</t>
  </si>
  <si>
    <t xml:space="preserve">AV. NESTOR GAMBETA N° 1265 </t>
  </si>
  <si>
    <t>Diesel B5 S-50,GASOHOL 84 PLUS,GASOHOL 90 PLUS,GASOHOL 95 PLUS,GASOHOL 97 PLUS,GASOLINA 84,GASOLINA 90,GASOLINA 95,GASOLINA 97,PETRÓLEO INDUSTRIAL Nº 6</t>
  </si>
  <si>
    <t>114037-048-241115</t>
  </si>
  <si>
    <t>AV. ENRIQUE CANAVAL MOREYRA N° 150, SAN ISIDRO/LIMA/LIMA</t>
  </si>
  <si>
    <t xml:space="preserve">MAPLE GAS </t>
  </si>
  <si>
    <t>PLANTA DE ABASTECIMIENTO "REFINERIA PUCALLPA"</t>
  </si>
  <si>
    <t xml:space="preserve">JR. COMANDANTE BARREDA S/N </t>
  </si>
  <si>
    <t>DIESEL B5</t>
  </si>
  <si>
    <t>125533-048-200220</t>
  </si>
  <si>
    <t>CARRETERA TAPARACHI S/N KM 2.5</t>
  </si>
  <si>
    <t>149546-048-170420</t>
  </si>
  <si>
    <t>VALERO PERU S.A.C.</t>
  </si>
  <si>
    <t>AV. RICARDO RIVERA NAVARRETE N° 501, OFICINA 15, SAN ISIDRO/LIMA/LIMA</t>
  </si>
  <si>
    <t>DEPÓSITOS QUÍMICOS MINEROS S.A.C.</t>
  </si>
  <si>
    <t>AV. ENRIQUE MEIGGS NRO. 240, URB CHACARITAS</t>
  </si>
  <si>
    <t>DIESEL MARINO N° 2</t>
  </si>
  <si>
    <t>112543-048-170919</t>
  </si>
  <si>
    <t>PETRÓLEOS DEL PERÚ - PETROPERÚ</t>
  </si>
  <si>
    <t>PLANTA DE VENTAS REFINERÍA CONCHÁN</t>
  </si>
  <si>
    <t>ANTIGUA PANAMERICANA SUR KM 26.5</t>
  </si>
  <si>
    <t>112623-048-131119</t>
  </si>
  <si>
    <t>AV. CIRCUNVALACION DEL CLUB GOLF LOS INCAS 134. TORRE 1 PISO 18, SANTIAGO DE SURCO/LIMA/LIMA</t>
  </si>
  <si>
    <t>34099-048-181016</t>
  </si>
  <si>
    <t>AV. SANTO TORIBIO N° 173 URB. EL ROSARIO EDIFICIO REAL 8 PISO 4, SAN ISIDRO/LIMA/LIMA</t>
  </si>
  <si>
    <t>33792-048-190320</t>
  </si>
  <si>
    <t>CARRETERA PANAMERICANA NORTE KM 4.38, ZONA INDUSTRIAL III</t>
  </si>
  <si>
    <t>112622-048-050717</t>
  </si>
  <si>
    <t>CORPORACION PRIMAX S.A</t>
  </si>
  <si>
    <t>AV. CIRCUNVALACION DEL CLUB GOLF LOS INCAS N° 134 TORRE 1 PISO 18, SALAVERRY/TRUJILLO/LA LIBERTAD</t>
  </si>
  <si>
    <t>0009-DMAY-15-2006</t>
  </si>
  <si>
    <t>PETROLEOS DEL PERU - PETROPERU S.A. - TERMINAL ILO</t>
  </si>
  <si>
    <t>DIESEL B2,GASOLINA 84,GASOLINA 95,PETRÓLEO INDUSTRIAL Nº 6</t>
  </si>
  <si>
    <t>105920-048-050620</t>
  </si>
  <si>
    <t xml:space="preserve">NUMAY S.A. </t>
  </si>
  <si>
    <t>AV. REPUBLICA DE PANAMA N° 3591 OF. 401, SAN ISIDRO/LIMA/LIMA</t>
  </si>
  <si>
    <t>PLANTA DE ABASTECIMIENTO REFINERIA TALARA</t>
  </si>
  <si>
    <t>DIESEL B5,Diesel B5 S-50,GASOHOL 84 PLUS,GASOHOL 90 PLUS,GASOHOL 95 PLUS,GASOLINA 84,GASOLINA 90</t>
  </si>
  <si>
    <t>112604-048-061219</t>
  </si>
  <si>
    <t>AV. CIRCUNVALACION DEL CLUB GOLF LOS INCAS N° 134 TORRE 1 PISO 18, SANTIAGO DE SURCO/LIMA/LIMA</t>
  </si>
  <si>
    <t xml:space="preserve">CARRETERA PLAYA LOBOS KM.5 </t>
  </si>
  <si>
    <t>33762-048-201016</t>
  </si>
  <si>
    <t>AV. SANTO TORIBIO N° 173, URB. EL ROSARIO, EDIFICIO REAL 8, PISO 4, SAN BORJA/LIMA/LIMA</t>
  </si>
  <si>
    <t>AV. BREA Y PARIÑAS KM 421 – TERMINAL CHIMBOTE</t>
  </si>
  <si>
    <t>DIESEL B5,Diesel B5 S-50,GASOHOL 84 PLUS,GASOHOL 90 PLUS,GASOHOL 95 PLUS,GASOHOL 97 PLUS,GASOLINA 84,GASOLINA 90,GASOLINA 95,GASOLINA 97,PETRÓLEO INDUSTRIAL Nº 500</t>
  </si>
  <si>
    <t>33790-048-230320</t>
  </si>
  <si>
    <t>PETROPERÚ</t>
  </si>
  <si>
    <t>PLANTA DE VENTAS TARAPOTO</t>
  </si>
  <si>
    <t>SAN MARTIN</t>
  </si>
  <si>
    <t>TARAPOTO</t>
  </si>
  <si>
    <t>DIESEL B5,Diesel B5 S-50,GASOLINA 84,GASOLINA 90</t>
  </si>
  <si>
    <t>146268-048-050919</t>
  </si>
  <si>
    <t>AV. BENAVIDES N°620 INT. 703, CALLAO/PROV. CONST. DEL CALLAO/PROV. CONST. DEL CALLAO</t>
  </si>
  <si>
    <t>0047-DMAY-15-2005</t>
  </si>
  <si>
    <t>PETROLEOS DEL PERU-PETROPERU S.A. - MADRE DE DIOS</t>
  </si>
  <si>
    <t>AV. ENRIQUE CANAVAL Y MOREYRA N° 150, SAN ISIDRO/LIMA/LIMA</t>
  </si>
  <si>
    <t>PUERTO MALDONADO</t>
  </si>
  <si>
    <t>MADRE DE DIOS</t>
  </si>
  <si>
    <t>TAMBOPATA</t>
  </si>
  <si>
    <t>145829-048-150819</t>
  </si>
  <si>
    <t>PLUSPETROL PERU CORPORATION S.A.</t>
  </si>
  <si>
    <t>AV. REPUBLICA DE PANAMÁ N°3055, SAN ISIDRO/LIMA/LIMA</t>
  </si>
  <si>
    <t>AV. NESTOR GAMBETTA N° 1265 - TERMINAL CALLAO</t>
  </si>
  <si>
    <t>0091-DMAY-15-2002</t>
  </si>
  <si>
    <t>PETROLEOS DEL PERU - PETROPERU S.A. - PLANTA DE VENTAS PUCALLPA</t>
  </si>
  <si>
    <t>PLANTA DE VENTAS PUCALLPA PETROPERU</t>
  </si>
  <si>
    <t>DIESEL B2,GASOLINA 84,GASOLINA 90</t>
  </si>
  <si>
    <t>146946-048-181020</t>
  </si>
  <si>
    <t>PETROLEOS DEL PERÚ – PETROPERU S.A</t>
  </si>
  <si>
    <t>PLANTA DE VENTAS CONCHAN</t>
  </si>
  <si>
    <t>ANTIGUA PANAMERICANA SUR KM. 26.50</t>
  </si>
  <si>
    <t>DIESEL B5,Diesel B5 S-50,GASOHOL 84 PLUS,GASOHOL 90 PLUS,GASOHOL 95 PLUS,GASOHOL 97 PLUS,PETRÓLEO INDUSTRIAL Nº 500,PETRÓLEO INDUSTRIAL Nº 6</t>
  </si>
  <si>
    <t>0013-DMAY-15-2006</t>
  </si>
  <si>
    <t>PETROLEOS DEL PERU - PETROPERU S.A. - TERMINAL PISCO</t>
  </si>
  <si>
    <t>PARACAS</t>
  </si>
  <si>
    <t>DIESEL B2,GASOLINA 84,GASOLINA 90,GASOLINA 95,PETRÓLEO INDUSTRIAL Nº 500,TURBO A-1</t>
  </si>
  <si>
    <t>119828-048-270720</t>
  </si>
  <si>
    <t>DIESEL B5,GASOHOL 84 PLUS,GASOHOL 90 PLUS,GASOHOL 95 PLUS,GASOLINA 84,GASOLINA 90,GASOLINA 95</t>
  </si>
  <si>
    <t>119830-048-041218</t>
  </si>
  <si>
    <t>PURE BIOFUELS DEL PERU S.A.C</t>
  </si>
  <si>
    <t xml:space="preserve">OSCOLLOPAMPA S/N, </t>
  </si>
  <si>
    <t>34097-048-021117</t>
  </si>
  <si>
    <t>105610-048-100718</t>
  </si>
  <si>
    <t>CARRETERA A PARACAS KM. 11.5</t>
  </si>
  <si>
    <t>84533-048-260820</t>
  </si>
  <si>
    <t>AV. RICARDO RIVERA NAVARRETE NRO. 501, OFICINA 1602, SAN ISIDRO/LIMA/LIMA</t>
  </si>
  <si>
    <t>AV. NESTOR GAMBETTA KM. 11.5, LOTE B-2</t>
  </si>
  <si>
    <t>DIESEL MARINO N° 2,Diesel B5 S-50,GASOHOL 84 PLUS,GASOHOL 90 PLUS,GASOHOL 95 PLUS,GASOHOL 97 PLUS,GASOHOL 98 PLUS,GASOLINA 100 LL,PETRÓLEO INDUSTRIAL Nº 500,PETRÓLEO INDUSTRIAL Nº 6,TURBO A-1</t>
  </si>
  <si>
    <t>104290-048-181016</t>
  </si>
  <si>
    <t>PUMA ENERGY PERU S.A.C</t>
  </si>
  <si>
    <t>CARRETERA TAPARACHI S/N KM. 2.5</t>
  </si>
  <si>
    <t>33746-048-030317</t>
  </si>
  <si>
    <t>PLANTA DE ABASTECIMIENTO HERCO</t>
  </si>
  <si>
    <t>AUTOP. PANAM. SUR KM-33,5 ,PARCELA C-14 A</t>
  </si>
  <si>
    <t>148002-048-061219</t>
  </si>
  <si>
    <t>AV. REPUBLICA DE PANAMA 3055, SAN ISIDRO/LIMA/LIMA</t>
  </si>
  <si>
    <t>TERMINAL PLUSPETROL</t>
  </si>
  <si>
    <t>CARRETERA PISCO PARACAS KM. 14.5 PLAYA LOBERIAS</t>
  </si>
  <si>
    <t>133505-048-251019</t>
  </si>
  <si>
    <t>REPSOL MARKETING S.A.C.</t>
  </si>
  <si>
    <t>AV. VICTOR ANDRES BELAUNDE N°147 TORRE 5 PISO 3, VENTANILLA/PROV. CONST. DEL CALLAO/PROV. CONST. DEL CALLAO</t>
  </si>
  <si>
    <t>REFINERÍA LA PAMPILLA S.A.A.</t>
  </si>
  <si>
    <t>KM 25 DE LA CARRETERA A VENTANILLA</t>
  </si>
  <si>
    <t>TURBO A-1</t>
  </si>
  <si>
    <t>119822-048-061218</t>
  </si>
  <si>
    <t>107594-048-100718</t>
  </si>
  <si>
    <t>34095-048-051016</t>
  </si>
  <si>
    <t>PUMA ENERGY PERÚ S.A.C.</t>
  </si>
  <si>
    <t>105611-048-030520</t>
  </si>
  <si>
    <t>119831-048-031218</t>
  </si>
  <si>
    <t>PLANTA DE ABASTECIMIENTO JULIACA</t>
  </si>
  <si>
    <t>33794-048-010914</t>
  </si>
  <si>
    <t>PETROPERU S.A. - TERMINAL CALLAO</t>
  </si>
  <si>
    <t>Diesel B5 S-50,GASOHOL 84 PLUS,GASOHOL 90 PLUS,GASOHOL 95 PLUS,GASOHOL 97 PLUS,GASOLINA 100 LL,GASOLINA 84,GASOLINA 90,GASOLINA 95,GASOLINA 97,IFO - 380 / BUNKER,MGO,TURBO A-1</t>
  </si>
  <si>
    <t>33789-048-190416</t>
  </si>
  <si>
    <t>PETROLEOS DEL PERU - PETROPERU S.A. - PLANTA DE VENTA IQUITOS</t>
  </si>
  <si>
    <t>PLANTA DE ABASTECIMIENTO REFINERIA IQUITOS</t>
  </si>
  <si>
    <t>AV. LA MARINA N° 178</t>
  </si>
  <si>
    <t>MAYNAS</t>
  </si>
  <si>
    <t>IQUITOS</t>
  </si>
  <si>
    <t>DIESEL B5,GASOLINA 84,GASOLINA 90,PETRÓLEO INDUSTRIAL Nº 6</t>
  </si>
  <si>
    <t>33807-048-140820</t>
  </si>
  <si>
    <t>DIESEL B5,Diesel B5 S-50,GASOHOL 98 PLUS,GASOLINA 84,GASOLINA 90,GASOLINA 95,GASOLINA 97,GASOLINA 98,PETRÓLEO INDUSTRIAL Nº 500,PETRÓLEO INDUSTRIAL Nº 6</t>
  </si>
  <si>
    <t>150064-048-270720</t>
  </si>
  <si>
    <t>CARRETERA PISCO PARACAS KM 14.5 PLAYA LOBERIAS</t>
  </si>
  <si>
    <t>139183-048-180619</t>
  </si>
  <si>
    <t xml:space="preserve">ECO PETROLEUM S.A.C. </t>
  </si>
  <si>
    <t>AV. 28 DE JULIO N°757, PISO 9, CALLAO/PROV. CONST. DEL CALLAO/PROV. CONST. DEL CALLAO</t>
  </si>
  <si>
    <t>AV. NESTOR GAMBETA 1265</t>
  </si>
  <si>
    <t>119826-048-051218</t>
  </si>
  <si>
    <t>Diesel B5 S-50,GASOHOL 84 PLUS,GASOHOL 90 PLUS,GASOHOL 95 PLUS,GASOHOL 97 PLUS,GASOLINA 84,GASOLINA 90,GASOLINA 95,GASOLINA 97,PETRÓLEO INDUSTRIAL Nº 500,PETRÓLEO INDUSTRIAL Nº 6</t>
  </si>
  <si>
    <t>34100-048-031116</t>
  </si>
  <si>
    <t>CALLE CALLAO N° 445-460, NUEVA VICTORIA</t>
  </si>
  <si>
    <t>138604-048-260918</t>
  </si>
  <si>
    <t>CALLE LAS GARZAS Nº 220 URBANIZACION LIMATAMBO, CHIMBOTE/SANTA/ANCASH</t>
  </si>
  <si>
    <t>AV BREA Y PARIÑAS KM 421</t>
  </si>
  <si>
    <t>151676-048-191020</t>
  </si>
  <si>
    <t>119832-048-081218</t>
  </si>
  <si>
    <t xml:space="preserve">CALLE CALLAO N° 445-460, NUEVA VICTORIA </t>
  </si>
  <si>
    <t>119833-048-051218</t>
  </si>
  <si>
    <t xml:space="preserve">AV. BREA Y PARIÑAS KM. 421 </t>
  </si>
  <si>
    <t>DIESEL B5,Diesel B5 S-50,GASOHOL 84 PLUS,GASOLINA 84,PETRÓLEO INDUSTRIAL Nº 500</t>
  </si>
  <si>
    <t>33779-048-250515</t>
  </si>
  <si>
    <t>TERMINAL ETEN - TERMINALES DEL PERÚ</t>
  </si>
  <si>
    <t>DIESEL B5,GASOHOL 84 PLUS,GASOHOL 90 PLUS,GASOLINA 84,GASOLINA 90,PETRÓLEO INDUSTRIAL Nº 500,PETRÓLEO INDUSTRIAL Nº 6,TURBO A-1</t>
  </si>
  <si>
    <t>33768-048-161119</t>
  </si>
  <si>
    <t>PERUANA DE COMBUSTIBLES S.A</t>
  </si>
  <si>
    <t>AV. REPUBLICA DE PANAMA 3542, SAN ISIDRO/LIMA/LIMA</t>
  </si>
  <si>
    <t>105614-048-120718</t>
  </si>
  <si>
    <t xml:space="preserve">AV. APURÍMAC N° 401. </t>
  </si>
  <si>
    <t>Diesel B5 S-50,GASOHOL 84 PLUS,GASOHOL 90 PLUS,PETRÓLEO INDUSTRIAL Nº 500</t>
  </si>
  <si>
    <t>132131-048-261017</t>
  </si>
  <si>
    <t>MAPLE BIOCOMBUSTIBLES S.R.L.</t>
  </si>
  <si>
    <t>AV. LA PAZ NRO. 1153 OFICINA 101, MIRAFLORES/LIMA/LIMA</t>
  </si>
  <si>
    <t>MAPLE GAS CORPORATION DEL PERÚ S.R.L</t>
  </si>
  <si>
    <t>JR. COMANDANTE BARREDA S/N.</t>
  </si>
  <si>
    <t>PETRÓLEO INDUSTRIAL Nº 6</t>
  </si>
  <si>
    <t>33813-048-121119</t>
  </si>
  <si>
    <t>AV. GENARO MEDRANO ZONA SUR NRO. S/N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</si>
</sst>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14" fontId="0" fillId="34" borderId="10" xfId="0" applyNumberFormat="1" applyFill="1" applyBorder="1" applyAlignment="1">
      <alignment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809625</xdr:colOff>
      <xdr:row>3</xdr:row>
      <xdr:rowOff>47625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286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2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8515625" style="0" customWidth="1"/>
    <col min="2" max="2" width="13.8515625" style="0" customWidth="1"/>
    <col min="3" max="3" width="19.421875" style="0" bestFit="1" customWidth="1"/>
    <col min="4" max="4" width="17.8515625" style="0" bestFit="1" customWidth="1"/>
    <col min="5" max="5" width="11.8515625" style="0" bestFit="1" customWidth="1"/>
    <col min="6" max="7" width="44.8515625" style="0" bestFit="1" customWidth="1"/>
    <col min="8" max="8" width="38.28125" style="0" bestFit="1" customWidth="1"/>
    <col min="9" max="10" width="44.8515625" style="0" bestFit="1" customWidth="1"/>
    <col min="11" max="12" width="23.140625" style="0" bestFit="1" customWidth="1"/>
    <col min="13" max="13" width="20.8515625" style="0" bestFit="1" customWidth="1"/>
    <col min="14" max="14" width="12.140625" style="0" bestFit="1" customWidth="1"/>
    <col min="15" max="15" width="20.421875" style="0" bestFit="1" customWidth="1"/>
    <col min="16" max="16" width="44.8515625" style="0" bestFit="1" customWidth="1"/>
  </cols>
  <sheetData>
    <row r="2" spans="1:16" ht="13.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6" spans="1:16" ht="13.5">
      <c r="A6" s="1" t="s">
        <v>1</v>
      </c>
      <c r="B6" s="2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</row>
    <row r="7" spans="1:16" ht="69.75">
      <c r="A7" s="3">
        <v>1</v>
      </c>
      <c r="B7" s="3" t="str">
        <f>"202000018814"</f>
        <v>202000018814</v>
      </c>
      <c r="C7" s="3" t="str">
        <f>"125538"</f>
        <v>125538</v>
      </c>
      <c r="D7" s="3" t="s">
        <v>17</v>
      </c>
      <c r="E7" s="3">
        <v>20600427734</v>
      </c>
      <c r="F7" s="3" t="s">
        <v>18</v>
      </c>
      <c r="G7" s="3" t="s">
        <v>19</v>
      </c>
      <c r="H7" s="3" t="s">
        <v>20</v>
      </c>
      <c r="I7" s="3" t="s">
        <v>21</v>
      </c>
      <c r="J7" s="3" t="s">
        <v>22</v>
      </c>
      <c r="K7" s="3" t="s">
        <v>23</v>
      </c>
      <c r="L7" s="3" t="s">
        <v>24</v>
      </c>
      <c r="M7" s="3" t="s">
        <v>25</v>
      </c>
      <c r="N7" s="4">
        <v>43874</v>
      </c>
      <c r="O7" s="3" t="s">
        <v>26</v>
      </c>
      <c r="P7" s="3" t="s">
        <v>27</v>
      </c>
    </row>
    <row r="8" spans="1:16" ht="42">
      <c r="A8" s="3">
        <v>2</v>
      </c>
      <c r="B8" s="3" t="str">
        <f>"201700061201"</f>
        <v>201700061201</v>
      </c>
      <c r="C8" s="3" t="str">
        <f>"33838"</f>
        <v>33838</v>
      </c>
      <c r="D8" s="3" t="s">
        <v>28</v>
      </c>
      <c r="E8" s="3">
        <v>20195923753</v>
      </c>
      <c r="F8" s="3" t="s">
        <v>29</v>
      </c>
      <c r="G8" s="3" t="s">
        <v>30</v>
      </c>
      <c r="H8" s="3" t="s">
        <v>31</v>
      </c>
      <c r="I8" s="3" t="s">
        <v>32</v>
      </c>
      <c r="J8" s="3" t="s">
        <v>33</v>
      </c>
      <c r="K8" s="3" t="s">
        <v>34</v>
      </c>
      <c r="L8" s="3" t="s">
        <v>35</v>
      </c>
      <c r="M8" s="3" t="s">
        <v>36</v>
      </c>
      <c r="N8" s="4">
        <v>42950</v>
      </c>
      <c r="O8" s="3" t="s">
        <v>26</v>
      </c>
      <c r="P8" s="3" t="s">
        <v>37</v>
      </c>
    </row>
    <row r="9" spans="1:16" ht="27.75">
      <c r="A9" s="3">
        <v>3</v>
      </c>
      <c r="B9" s="3" t="str">
        <f>"201800199772"</f>
        <v>201800199772</v>
      </c>
      <c r="C9" s="3" t="str">
        <f>"33798"</f>
        <v>33798</v>
      </c>
      <c r="D9" s="3" t="s">
        <v>38</v>
      </c>
      <c r="E9" s="3">
        <v>20259829594</v>
      </c>
      <c r="F9" s="3" t="s">
        <v>39</v>
      </c>
      <c r="G9" s="3" t="s">
        <v>40</v>
      </c>
      <c r="H9" s="3" t="s">
        <v>20</v>
      </c>
      <c r="I9" s="3" t="s">
        <v>41</v>
      </c>
      <c r="J9" s="3" t="s">
        <v>42</v>
      </c>
      <c r="K9" s="3" t="s">
        <v>43</v>
      </c>
      <c r="L9" s="3" t="s">
        <v>44</v>
      </c>
      <c r="M9" s="3" t="s">
        <v>45</v>
      </c>
      <c r="N9" s="4">
        <v>43441</v>
      </c>
      <c r="O9" s="3" t="s">
        <v>26</v>
      </c>
      <c r="P9" s="3" t="s">
        <v>46</v>
      </c>
    </row>
    <row r="10" spans="1:16" ht="55.5">
      <c r="A10" s="3">
        <v>4</v>
      </c>
      <c r="B10" s="3" t="str">
        <f>"202000076073"</f>
        <v>202000076073</v>
      </c>
      <c r="C10" s="3" t="str">
        <f>"33791"</f>
        <v>33791</v>
      </c>
      <c r="D10" s="3" t="s">
        <v>47</v>
      </c>
      <c r="E10" s="3">
        <v>20100128218</v>
      </c>
      <c r="F10" s="3" t="s">
        <v>48</v>
      </c>
      <c r="G10" s="3" t="s">
        <v>49</v>
      </c>
      <c r="H10" s="3" t="s">
        <v>48</v>
      </c>
      <c r="I10" s="3" t="s">
        <v>50</v>
      </c>
      <c r="J10" s="3" t="s">
        <v>51</v>
      </c>
      <c r="K10" s="3" t="s">
        <v>52</v>
      </c>
      <c r="L10" s="3" t="s">
        <v>53</v>
      </c>
      <c r="M10" s="3" t="s">
        <v>54</v>
      </c>
      <c r="N10" s="4">
        <v>44043</v>
      </c>
      <c r="O10" s="3" t="s">
        <v>26</v>
      </c>
      <c r="P10" s="3" t="s">
        <v>55</v>
      </c>
    </row>
    <row r="11" spans="1:16" ht="69.75">
      <c r="A11" s="3">
        <v>5</v>
      </c>
      <c r="B11" s="3" t="str">
        <f>"201900058857"</f>
        <v>201900058857</v>
      </c>
      <c r="C11" s="3" t="str">
        <f>"38572"</f>
        <v>38572</v>
      </c>
      <c r="D11" s="3" t="s">
        <v>56</v>
      </c>
      <c r="E11" s="3">
        <v>20262463771</v>
      </c>
      <c r="F11" s="3" t="s">
        <v>57</v>
      </c>
      <c r="G11" s="3" t="s">
        <v>58</v>
      </c>
      <c r="H11" s="3" t="s">
        <v>39</v>
      </c>
      <c r="I11" s="3" t="s">
        <v>59</v>
      </c>
      <c r="J11" s="3" t="s">
        <v>60</v>
      </c>
      <c r="K11" s="3" t="s">
        <v>61</v>
      </c>
      <c r="L11" s="3" t="s">
        <v>61</v>
      </c>
      <c r="M11" s="3" t="s">
        <v>62</v>
      </c>
      <c r="N11" s="4">
        <v>43571</v>
      </c>
      <c r="O11" s="4">
        <v>44430</v>
      </c>
      <c r="P11" s="3" t="s">
        <v>63</v>
      </c>
    </row>
    <row r="12" spans="1:16" ht="42">
      <c r="A12" s="3">
        <v>6</v>
      </c>
      <c r="B12" s="3" t="str">
        <f>"201800199770"</f>
        <v>201800199770</v>
      </c>
      <c r="C12" s="3" t="str">
        <f>"33799"</f>
        <v>33799</v>
      </c>
      <c r="D12" s="3" t="s">
        <v>64</v>
      </c>
      <c r="E12" s="3">
        <v>20259829594</v>
      </c>
      <c r="F12" s="3" t="s">
        <v>39</v>
      </c>
      <c r="G12" s="3" t="s">
        <v>65</v>
      </c>
      <c r="H12" s="3" t="s">
        <v>20</v>
      </c>
      <c r="I12" s="3" t="s">
        <v>66</v>
      </c>
      <c r="J12" s="3" t="s">
        <v>67</v>
      </c>
      <c r="K12" s="3" t="s">
        <v>68</v>
      </c>
      <c r="L12" s="3" t="s">
        <v>69</v>
      </c>
      <c r="M12" s="3" t="s">
        <v>70</v>
      </c>
      <c r="N12" s="4">
        <v>43446</v>
      </c>
      <c r="O12" s="3" t="s">
        <v>26</v>
      </c>
      <c r="P12" s="3" t="s">
        <v>71</v>
      </c>
    </row>
    <row r="13" spans="1:16" ht="27.75">
      <c r="A13" s="3">
        <v>7</v>
      </c>
      <c r="B13" s="3" t="str">
        <f>"201800182083"</f>
        <v>201800182083</v>
      </c>
      <c r="C13" s="3" t="str">
        <f>"34712"</f>
        <v>34712</v>
      </c>
      <c r="D13" s="3" t="s">
        <v>72</v>
      </c>
      <c r="E13" s="3">
        <v>20100128218</v>
      </c>
      <c r="F13" s="3" t="s">
        <v>73</v>
      </c>
      <c r="G13" s="3" t="s">
        <v>74</v>
      </c>
      <c r="H13" s="3" t="s">
        <v>75</v>
      </c>
      <c r="I13" s="3" t="s">
        <v>76</v>
      </c>
      <c r="J13" s="3" t="s">
        <v>77</v>
      </c>
      <c r="K13" s="3" t="s">
        <v>78</v>
      </c>
      <c r="L13" s="3" t="s">
        <v>79</v>
      </c>
      <c r="M13" s="3" t="s">
        <v>80</v>
      </c>
      <c r="N13" s="4">
        <v>43404</v>
      </c>
      <c r="O13" s="3" t="s">
        <v>26</v>
      </c>
      <c r="P13" s="3" t="s">
        <v>81</v>
      </c>
    </row>
    <row r="14" spans="1:16" ht="55.5">
      <c r="A14" s="3">
        <v>8</v>
      </c>
      <c r="B14" s="3" t="str">
        <f>"201400121536"</f>
        <v>201400121536</v>
      </c>
      <c r="C14" s="3" t="str">
        <f>"33744"</f>
        <v>33744</v>
      </c>
      <c r="D14" s="3" t="s">
        <v>82</v>
      </c>
      <c r="E14" s="3">
        <v>20501458164</v>
      </c>
      <c r="F14" s="3" t="s">
        <v>83</v>
      </c>
      <c r="G14" s="3" t="s">
        <v>84</v>
      </c>
      <c r="H14" s="3" t="s">
        <v>85</v>
      </c>
      <c r="I14" s="3" t="s">
        <v>86</v>
      </c>
      <c r="J14" s="3" t="s">
        <v>87</v>
      </c>
      <c r="K14" s="3" t="s">
        <v>61</v>
      </c>
      <c r="L14" s="3" t="s">
        <v>61</v>
      </c>
      <c r="M14" s="3" t="s">
        <v>88</v>
      </c>
      <c r="N14" s="4">
        <v>41929</v>
      </c>
      <c r="O14" s="3" t="s">
        <v>26</v>
      </c>
      <c r="P14" s="3" t="s">
        <v>89</v>
      </c>
    </row>
    <row r="15" spans="1:16" ht="55.5">
      <c r="A15" s="3">
        <v>9</v>
      </c>
      <c r="B15" s="3" t="str">
        <f>"201900184732"</f>
        <v>201900184732</v>
      </c>
      <c r="C15" s="3" t="str">
        <f>"33809"</f>
        <v>33809</v>
      </c>
      <c r="D15" s="3" t="s">
        <v>90</v>
      </c>
      <c r="E15" s="3">
        <v>20503840121</v>
      </c>
      <c r="F15" s="3" t="s">
        <v>91</v>
      </c>
      <c r="G15" s="3" t="s">
        <v>92</v>
      </c>
      <c r="H15" s="3" t="s">
        <v>20</v>
      </c>
      <c r="I15" s="3" t="s">
        <v>66</v>
      </c>
      <c r="J15" s="3" t="s">
        <v>67</v>
      </c>
      <c r="K15" s="3" t="s">
        <v>68</v>
      </c>
      <c r="L15" s="3" t="s">
        <v>69</v>
      </c>
      <c r="M15" s="3" t="s">
        <v>70</v>
      </c>
      <c r="N15" s="4">
        <v>43783</v>
      </c>
      <c r="O15" s="4">
        <v>44192</v>
      </c>
      <c r="P15" s="3" t="s">
        <v>93</v>
      </c>
    </row>
    <row r="16" spans="1:16" ht="27.75">
      <c r="A16" s="3">
        <v>10</v>
      </c>
      <c r="B16" s="3" t="str">
        <f>"202000145441"</f>
        <v>202000145441</v>
      </c>
      <c r="C16" s="3" t="str">
        <f>"151140"</f>
        <v>151140</v>
      </c>
      <c r="D16" s="3" t="s">
        <v>94</v>
      </c>
      <c r="E16" s="3">
        <v>20506151547</v>
      </c>
      <c r="F16" s="3" t="s">
        <v>95</v>
      </c>
      <c r="G16" s="3" t="s">
        <v>96</v>
      </c>
      <c r="H16" s="3" t="s">
        <v>85</v>
      </c>
      <c r="I16" s="3" t="s">
        <v>97</v>
      </c>
      <c r="J16" s="3" t="s">
        <v>98</v>
      </c>
      <c r="K16" s="3" t="s">
        <v>68</v>
      </c>
      <c r="L16" s="3" t="s">
        <v>69</v>
      </c>
      <c r="M16" s="3" t="s">
        <v>70</v>
      </c>
      <c r="N16" s="4">
        <v>44124</v>
      </c>
      <c r="O16" s="4">
        <v>44196</v>
      </c>
      <c r="P16" s="3" t="s">
        <v>99</v>
      </c>
    </row>
    <row r="17" spans="1:16" ht="42">
      <c r="A17" s="3">
        <v>11</v>
      </c>
      <c r="B17" s="3" t="str">
        <f>"201900182642"</f>
        <v>201900182642</v>
      </c>
      <c r="C17" s="3" t="str">
        <f>"33806"</f>
        <v>33806</v>
      </c>
      <c r="D17" s="3" t="s">
        <v>100</v>
      </c>
      <c r="E17" s="3">
        <v>20259829594</v>
      </c>
      <c r="F17" s="3" t="s">
        <v>101</v>
      </c>
      <c r="G17" s="3" t="s">
        <v>65</v>
      </c>
      <c r="H17" s="3" t="s">
        <v>102</v>
      </c>
      <c r="I17" s="3" t="s">
        <v>103</v>
      </c>
      <c r="J17" s="3" t="s">
        <v>104</v>
      </c>
      <c r="K17" s="3" t="s">
        <v>105</v>
      </c>
      <c r="L17" s="3" t="s">
        <v>106</v>
      </c>
      <c r="M17" s="3" t="s">
        <v>107</v>
      </c>
      <c r="N17" s="4">
        <v>43794</v>
      </c>
      <c r="O17" s="3" t="s">
        <v>26</v>
      </c>
      <c r="P17" s="3" t="s">
        <v>108</v>
      </c>
    </row>
    <row r="18" spans="1:16" ht="27.75">
      <c r="A18" s="3">
        <v>12</v>
      </c>
      <c r="B18" s="3" t="str">
        <f>"201800112459"</f>
        <v>201800112459</v>
      </c>
      <c r="C18" s="3" t="str">
        <f>"107595"</f>
        <v>107595</v>
      </c>
      <c r="D18" s="3" t="s">
        <v>109</v>
      </c>
      <c r="E18" s="3">
        <v>20553167672</v>
      </c>
      <c r="F18" s="3" t="s">
        <v>110</v>
      </c>
      <c r="G18" s="3" t="s">
        <v>111</v>
      </c>
      <c r="H18" s="3" t="s">
        <v>112</v>
      </c>
      <c r="I18" s="3" t="s">
        <v>113</v>
      </c>
      <c r="J18" s="3" t="s">
        <v>114</v>
      </c>
      <c r="K18" s="3" t="s">
        <v>115</v>
      </c>
      <c r="L18" s="3" t="s">
        <v>115</v>
      </c>
      <c r="M18" s="3" t="s">
        <v>116</v>
      </c>
      <c r="N18" s="4">
        <v>43293</v>
      </c>
      <c r="O18" s="4">
        <v>45125</v>
      </c>
      <c r="P18" s="3" t="s">
        <v>108</v>
      </c>
    </row>
    <row r="19" spans="1:16" ht="42">
      <c r="A19" s="3">
        <v>13</v>
      </c>
      <c r="B19" s="3" t="str">
        <f>"201900049672"</f>
        <v>201900049672</v>
      </c>
      <c r="C19" s="3" t="str">
        <f>"142292"</f>
        <v>142292</v>
      </c>
      <c r="D19" s="3" t="s">
        <v>117</v>
      </c>
      <c r="E19" s="3">
        <v>20601839041</v>
      </c>
      <c r="F19" s="3" t="s">
        <v>118</v>
      </c>
      <c r="G19" s="3" t="s">
        <v>119</v>
      </c>
      <c r="H19" s="3" t="s">
        <v>120</v>
      </c>
      <c r="I19" s="3" t="s">
        <v>121</v>
      </c>
      <c r="J19" s="3" t="s">
        <v>122</v>
      </c>
      <c r="K19" s="3" t="s">
        <v>61</v>
      </c>
      <c r="L19" s="3" t="s">
        <v>61</v>
      </c>
      <c r="M19" s="3" t="s">
        <v>88</v>
      </c>
      <c r="N19" s="4">
        <v>43565</v>
      </c>
      <c r="O19" s="4">
        <v>44261</v>
      </c>
      <c r="P19" s="3" t="s">
        <v>123</v>
      </c>
    </row>
    <row r="20" spans="1:16" ht="69.75">
      <c r="A20" s="3">
        <v>14</v>
      </c>
      <c r="B20" s="3" t="str">
        <f>"202000082930"</f>
        <v>202000082930</v>
      </c>
      <c r="C20" s="3" t="str">
        <f>"150012"</f>
        <v>150012</v>
      </c>
      <c r="D20" s="3" t="s">
        <v>124</v>
      </c>
      <c r="E20" s="3">
        <v>20601147450</v>
      </c>
      <c r="F20" s="3" t="s">
        <v>125</v>
      </c>
      <c r="G20" s="3" t="s">
        <v>126</v>
      </c>
      <c r="H20" s="3" t="s">
        <v>20</v>
      </c>
      <c r="I20" s="3" t="s">
        <v>21</v>
      </c>
      <c r="J20" s="3" t="s">
        <v>127</v>
      </c>
      <c r="K20" s="3" t="s">
        <v>23</v>
      </c>
      <c r="L20" s="3" t="s">
        <v>24</v>
      </c>
      <c r="M20" s="3" t="s">
        <v>25</v>
      </c>
      <c r="N20" s="4">
        <v>44034</v>
      </c>
      <c r="O20" s="4">
        <v>45044</v>
      </c>
      <c r="P20" s="3" t="s">
        <v>27</v>
      </c>
    </row>
    <row r="21" spans="1:16" ht="27.75">
      <c r="A21" s="3">
        <v>15</v>
      </c>
      <c r="B21" s="3" t="str">
        <f>"202000145439"</f>
        <v>202000145439</v>
      </c>
      <c r="C21" s="3" t="str">
        <f>"151041"</f>
        <v>151041</v>
      </c>
      <c r="D21" s="3" t="s">
        <v>128</v>
      </c>
      <c r="E21" s="3">
        <v>20506151547</v>
      </c>
      <c r="F21" s="3" t="s">
        <v>95</v>
      </c>
      <c r="G21" s="3" t="s">
        <v>129</v>
      </c>
      <c r="H21" s="3" t="s">
        <v>130</v>
      </c>
      <c r="I21" s="3" t="s">
        <v>131</v>
      </c>
      <c r="J21" s="3" t="s">
        <v>132</v>
      </c>
      <c r="K21" s="3" t="s">
        <v>52</v>
      </c>
      <c r="L21" s="3" t="s">
        <v>52</v>
      </c>
      <c r="M21" s="3" t="s">
        <v>133</v>
      </c>
      <c r="N21" s="4">
        <v>44125</v>
      </c>
      <c r="O21" s="4">
        <v>44196</v>
      </c>
      <c r="P21" s="3" t="s">
        <v>134</v>
      </c>
    </row>
    <row r="22" spans="1:16" ht="55.5">
      <c r="A22" s="3">
        <v>16</v>
      </c>
      <c r="B22" s="3" t="str">
        <f>"201600136771"</f>
        <v>201600136771</v>
      </c>
      <c r="C22" s="3" t="str">
        <f>"34094"</f>
        <v>34094</v>
      </c>
      <c r="D22" s="3" t="s">
        <v>135</v>
      </c>
      <c r="E22" s="3">
        <v>20262463771</v>
      </c>
      <c r="F22" s="3" t="s">
        <v>136</v>
      </c>
      <c r="G22" s="3" t="s">
        <v>137</v>
      </c>
      <c r="H22" s="3" t="s">
        <v>20</v>
      </c>
      <c r="I22" s="3" t="s">
        <v>138</v>
      </c>
      <c r="J22" s="3" t="s">
        <v>139</v>
      </c>
      <c r="K22" s="3" t="s">
        <v>140</v>
      </c>
      <c r="L22" s="3" t="s">
        <v>141</v>
      </c>
      <c r="M22" s="3" t="s">
        <v>142</v>
      </c>
      <c r="N22" s="4">
        <v>42676</v>
      </c>
      <c r="O22" s="4">
        <v>44429</v>
      </c>
      <c r="P22" s="3" t="s">
        <v>143</v>
      </c>
    </row>
    <row r="23" spans="1:16" ht="42">
      <c r="A23" s="3">
        <v>17</v>
      </c>
      <c r="B23" s="3" t="str">
        <f>"201900186509"</f>
        <v>201900186509</v>
      </c>
      <c r="C23" s="3" t="str">
        <f>"147725"</f>
        <v>147725</v>
      </c>
      <c r="D23" s="3" t="s">
        <v>144</v>
      </c>
      <c r="E23" s="3">
        <v>20600427734</v>
      </c>
      <c r="F23" s="3" t="s">
        <v>145</v>
      </c>
      <c r="G23" s="3" t="s">
        <v>146</v>
      </c>
      <c r="H23" s="3" t="s">
        <v>120</v>
      </c>
      <c r="I23" s="3" t="s">
        <v>147</v>
      </c>
      <c r="J23" s="3" t="s">
        <v>148</v>
      </c>
      <c r="K23" s="3" t="s">
        <v>61</v>
      </c>
      <c r="L23" s="3" t="s">
        <v>61</v>
      </c>
      <c r="M23" s="3" t="s">
        <v>62</v>
      </c>
      <c r="N23" s="4">
        <v>43791</v>
      </c>
      <c r="O23" s="4">
        <v>45600</v>
      </c>
      <c r="P23" s="3" t="s">
        <v>149</v>
      </c>
    </row>
    <row r="24" spans="1:16" ht="42">
      <c r="A24" s="3">
        <v>18</v>
      </c>
      <c r="B24" s="3" t="str">
        <f>"201700098491"</f>
        <v>201700098491</v>
      </c>
      <c r="C24" s="3" t="str">
        <f>"112602"</f>
        <v>112602</v>
      </c>
      <c r="D24" s="3" t="s">
        <v>150</v>
      </c>
      <c r="E24" s="3">
        <v>20554545743</v>
      </c>
      <c r="F24" s="3" t="s">
        <v>151</v>
      </c>
      <c r="G24" s="3" t="s">
        <v>152</v>
      </c>
      <c r="H24" s="3" t="s">
        <v>85</v>
      </c>
      <c r="I24" s="3" t="s">
        <v>153</v>
      </c>
      <c r="J24" s="3" t="s">
        <v>22</v>
      </c>
      <c r="K24" s="3" t="s">
        <v>23</v>
      </c>
      <c r="L24" s="3" t="s">
        <v>24</v>
      </c>
      <c r="M24" s="3" t="s">
        <v>25</v>
      </c>
      <c r="N24" s="4">
        <v>42936</v>
      </c>
      <c r="O24" s="4">
        <v>44778</v>
      </c>
      <c r="P24" s="3" t="s">
        <v>154</v>
      </c>
    </row>
    <row r="25" spans="1:16" ht="27.75">
      <c r="A25" s="3">
        <v>19</v>
      </c>
      <c r="B25" s="3" t="str">
        <f>"201600011994"</f>
        <v>201600011994</v>
      </c>
      <c r="C25" s="3" t="str">
        <f>"33782"</f>
        <v>33782</v>
      </c>
      <c r="D25" s="3" t="s">
        <v>155</v>
      </c>
      <c r="E25" s="3">
        <v>20100128218</v>
      </c>
      <c r="F25" s="3" t="s">
        <v>156</v>
      </c>
      <c r="G25" s="3" t="s">
        <v>49</v>
      </c>
      <c r="H25" s="3" t="s">
        <v>85</v>
      </c>
      <c r="I25" s="3" t="s">
        <v>41</v>
      </c>
      <c r="J25" s="3" t="s">
        <v>42</v>
      </c>
      <c r="K25" s="3" t="s">
        <v>43</v>
      </c>
      <c r="L25" s="3" t="s">
        <v>44</v>
      </c>
      <c r="M25" s="3" t="s">
        <v>45</v>
      </c>
      <c r="N25" s="4">
        <v>42408</v>
      </c>
      <c r="O25" s="3" t="s">
        <v>26</v>
      </c>
      <c r="P25" s="3" t="s">
        <v>157</v>
      </c>
    </row>
    <row r="26" spans="1:16" ht="27.75">
      <c r="A26" s="3">
        <v>20</v>
      </c>
      <c r="B26" s="3" t="str">
        <f>"201800112446"</f>
        <v>201800112446</v>
      </c>
      <c r="C26" s="3" t="str">
        <f>"105608"</f>
        <v>105608</v>
      </c>
      <c r="D26" s="3" t="s">
        <v>158</v>
      </c>
      <c r="E26" s="3">
        <v>20553167672</v>
      </c>
      <c r="F26" s="3" t="s">
        <v>159</v>
      </c>
      <c r="G26" s="3" t="s">
        <v>160</v>
      </c>
      <c r="H26" s="3" t="s">
        <v>112</v>
      </c>
      <c r="I26" s="3" t="s">
        <v>138</v>
      </c>
      <c r="J26" s="3" t="s">
        <v>161</v>
      </c>
      <c r="K26" s="3" t="s">
        <v>140</v>
      </c>
      <c r="L26" s="3" t="s">
        <v>141</v>
      </c>
      <c r="M26" s="3" t="s">
        <v>142</v>
      </c>
      <c r="N26" s="4">
        <v>43294</v>
      </c>
      <c r="O26" s="4">
        <v>45125</v>
      </c>
      <c r="P26" s="3" t="s">
        <v>162</v>
      </c>
    </row>
    <row r="27" spans="1:16" ht="27.75">
      <c r="A27" s="3">
        <v>21</v>
      </c>
      <c r="B27" s="3" t="str">
        <f>"201900184729"</f>
        <v>201900184729</v>
      </c>
      <c r="C27" s="3" t="str">
        <f>"109671"</f>
        <v>109671</v>
      </c>
      <c r="D27" s="3" t="s">
        <v>163</v>
      </c>
      <c r="E27" s="3">
        <v>20503840121</v>
      </c>
      <c r="F27" s="3" t="s">
        <v>164</v>
      </c>
      <c r="G27" s="3" t="s">
        <v>165</v>
      </c>
      <c r="H27" s="3" t="s">
        <v>102</v>
      </c>
      <c r="I27" s="3" t="s">
        <v>103</v>
      </c>
      <c r="J27" s="3" t="s">
        <v>166</v>
      </c>
      <c r="K27" s="3" t="s">
        <v>105</v>
      </c>
      <c r="L27" s="3" t="s">
        <v>106</v>
      </c>
      <c r="M27" s="3" t="s">
        <v>107</v>
      </c>
      <c r="N27" s="4">
        <v>43783</v>
      </c>
      <c r="O27" s="4">
        <v>44196</v>
      </c>
      <c r="P27" s="3" t="s">
        <v>134</v>
      </c>
    </row>
    <row r="28" spans="1:16" ht="42">
      <c r="A28" s="3">
        <v>22</v>
      </c>
      <c r="B28" s="3" t="str">
        <f>"201900182657"</f>
        <v>201900182657</v>
      </c>
      <c r="C28" s="3" t="str">
        <f>"33805"</f>
        <v>33805</v>
      </c>
      <c r="D28" s="3" t="s">
        <v>167</v>
      </c>
      <c r="E28" s="3">
        <v>20259829594</v>
      </c>
      <c r="F28" s="3" t="s">
        <v>101</v>
      </c>
      <c r="G28" s="3" t="s">
        <v>65</v>
      </c>
      <c r="H28" s="3" t="s">
        <v>102</v>
      </c>
      <c r="I28" s="3" t="s">
        <v>113</v>
      </c>
      <c r="J28" s="3" t="s">
        <v>168</v>
      </c>
      <c r="K28" s="3" t="s">
        <v>115</v>
      </c>
      <c r="L28" s="3" t="s">
        <v>115</v>
      </c>
      <c r="M28" s="3" t="s">
        <v>116</v>
      </c>
      <c r="N28" s="4">
        <v>43784</v>
      </c>
      <c r="O28" s="3" t="s">
        <v>26</v>
      </c>
      <c r="P28" s="3" t="s">
        <v>108</v>
      </c>
    </row>
    <row r="29" spans="1:16" ht="42">
      <c r="A29" s="3">
        <v>23</v>
      </c>
      <c r="B29" s="3" t="str">
        <f>"201900184726"</f>
        <v>201900184726</v>
      </c>
      <c r="C29" s="3" t="str">
        <f>"33811"</f>
        <v>33811</v>
      </c>
      <c r="D29" s="3" t="s">
        <v>169</v>
      </c>
      <c r="E29" s="3">
        <v>20503840121</v>
      </c>
      <c r="F29" s="3" t="s">
        <v>91</v>
      </c>
      <c r="G29" s="3" t="s">
        <v>170</v>
      </c>
      <c r="H29" s="3" t="s">
        <v>20</v>
      </c>
      <c r="I29" s="3" t="s">
        <v>153</v>
      </c>
      <c r="J29" s="3" t="s">
        <v>171</v>
      </c>
      <c r="K29" s="3" t="s">
        <v>23</v>
      </c>
      <c r="L29" s="3" t="s">
        <v>24</v>
      </c>
      <c r="M29" s="3" t="s">
        <v>25</v>
      </c>
      <c r="N29" s="4">
        <v>43795</v>
      </c>
      <c r="O29" s="4">
        <v>44192</v>
      </c>
      <c r="P29" s="3" t="s">
        <v>154</v>
      </c>
    </row>
    <row r="30" spans="1:16" ht="27.75">
      <c r="A30" s="3">
        <v>24</v>
      </c>
      <c r="B30" s="3" t="str">
        <f>"201900184691"</f>
        <v>201900184691</v>
      </c>
      <c r="C30" s="3" t="str">
        <f>"33814"</f>
        <v>33814</v>
      </c>
      <c r="D30" s="3" t="s">
        <v>172</v>
      </c>
      <c r="E30" s="3">
        <v>20503840121</v>
      </c>
      <c r="F30" s="3" t="s">
        <v>164</v>
      </c>
      <c r="G30" s="3" t="s">
        <v>170</v>
      </c>
      <c r="H30" s="3" t="s">
        <v>173</v>
      </c>
      <c r="I30" s="3" t="s">
        <v>138</v>
      </c>
      <c r="J30" s="3" t="s">
        <v>174</v>
      </c>
      <c r="K30" s="3" t="s">
        <v>140</v>
      </c>
      <c r="L30" s="3" t="s">
        <v>141</v>
      </c>
      <c r="M30" s="3" t="s">
        <v>142</v>
      </c>
      <c r="N30" s="4">
        <v>43783</v>
      </c>
      <c r="O30" s="4">
        <v>44192</v>
      </c>
      <c r="P30" s="3" t="s">
        <v>175</v>
      </c>
    </row>
    <row r="31" spans="1:16" ht="27.75">
      <c r="A31" s="3">
        <v>25</v>
      </c>
      <c r="B31" s="3" t="str">
        <f>"202000145424"</f>
        <v>202000145424</v>
      </c>
      <c r="C31" s="3" t="str">
        <f>"143017"</f>
        <v>143017</v>
      </c>
      <c r="D31" s="3" t="s">
        <v>176</v>
      </c>
      <c r="E31" s="3">
        <v>20506151547</v>
      </c>
      <c r="F31" s="3" t="s">
        <v>95</v>
      </c>
      <c r="G31" s="3" t="s">
        <v>96</v>
      </c>
      <c r="H31" s="3" t="s">
        <v>20</v>
      </c>
      <c r="I31" s="3" t="s">
        <v>138</v>
      </c>
      <c r="J31" s="3" t="s">
        <v>177</v>
      </c>
      <c r="K31" s="3" t="s">
        <v>140</v>
      </c>
      <c r="L31" s="3" t="s">
        <v>141</v>
      </c>
      <c r="M31" s="3" t="s">
        <v>142</v>
      </c>
      <c r="N31" s="4">
        <v>44126</v>
      </c>
      <c r="O31" s="4">
        <v>44196</v>
      </c>
      <c r="P31" s="3" t="s">
        <v>134</v>
      </c>
    </row>
    <row r="32" spans="1:16" ht="27.75">
      <c r="A32" s="3">
        <v>26</v>
      </c>
      <c r="B32" s="3" t="str">
        <f>"201500130141"</f>
        <v>201500130141</v>
      </c>
      <c r="C32" s="3" t="str">
        <f>"117706"</f>
        <v>117706</v>
      </c>
      <c r="D32" s="3" t="s">
        <v>178</v>
      </c>
      <c r="E32" s="3">
        <v>20501458164</v>
      </c>
      <c r="F32" s="3" t="s">
        <v>83</v>
      </c>
      <c r="G32" s="3" t="s">
        <v>179</v>
      </c>
      <c r="H32" s="3" t="s">
        <v>20</v>
      </c>
      <c r="I32" s="3" t="s">
        <v>66</v>
      </c>
      <c r="J32" s="3" t="s">
        <v>67</v>
      </c>
      <c r="K32" s="3" t="s">
        <v>68</v>
      </c>
      <c r="L32" s="3" t="s">
        <v>69</v>
      </c>
      <c r="M32" s="3" t="s">
        <v>70</v>
      </c>
      <c r="N32" s="3" t="s">
        <v>180</v>
      </c>
      <c r="O32" s="3" t="s">
        <v>26</v>
      </c>
      <c r="P32" s="3" t="s">
        <v>181</v>
      </c>
    </row>
    <row r="33" spans="1:16" ht="27.75">
      <c r="A33" s="3">
        <v>27</v>
      </c>
      <c r="B33" s="3" t="str">
        <f>"201400125714"</f>
        <v>201400125714</v>
      </c>
      <c r="C33" s="3" t="str">
        <f>"103519"</f>
        <v>103519</v>
      </c>
      <c r="D33" s="3" t="s">
        <v>182</v>
      </c>
      <c r="E33" s="3">
        <v>20552855940</v>
      </c>
      <c r="F33" s="3" t="s">
        <v>183</v>
      </c>
      <c r="G33" s="3" t="s">
        <v>184</v>
      </c>
      <c r="H33" s="3" t="s">
        <v>20</v>
      </c>
      <c r="I33" s="3" t="s">
        <v>185</v>
      </c>
      <c r="J33" s="3" t="s">
        <v>87</v>
      </c>
      <c r="K33" s="3" t="s">
        <v>61</v>
      </c>
      <c r="L33" s="3" t="s">
        <v>61</v>
      </c>
      <c r="M33" s="3" t="s">
        <v>88</v>
      </c>
      <c r="N33" s="4">
        <v>41921</v>
      </c>
      <c r="O33" s="3" t="s">
        <v>26</v>
      </c>
      <c r="P33" s="3" t="s">
        <v>123</v>
      </c>
    </row>
    <row r="34" spans="1:16" ht="27.75">
      <c r="A34" s="3">
        <v>28</v>
      </c>
      <c r="B34" s="3" t="str">
        <f>"201500150697"</f>
        <v>201500150697</v>
      </c>
      <c r="C34" s="3" t="str">
        <f>"33802"</f>
        <v>33802</v>
      </c>
      <c r="D34" s="3" t="s">
        <v>186</v>
      </c>
      <c r="E34" s="3">
        <v>20259829594</v>
      </c>
      <c r="F34" s="3" t="s">
        <v>187</v>
      </c>
      <c r="G34" s="3" t="s">
        <v>40</v>
      </c>
      <c r="H34" s="3" t="s">
        <v>85</v>
      </c>
      <c r="I34" s="3" t="s">
        <v>138</v>
      </c>
      <c r="J34" s="3" t="s">
        <v>188</v>
      </c>
      <c r="K34" s="3" t="s">
        <v>140</v>
      </c>
      <c r="L34" s="3" t="s">
        <v>141</v>
      </c>
      <c r="M34" s="3" t="s">
        <v>189</v>
      </c>
      <c r="N34" s="3" t="s">
        <v>180</v>
      </c>
      <c r="O34" s="3" t="s">
        <v>26</v>
      </c>
      <c r="P34" s="3" t="s">
        <v>175</v>
      </c>
    </row>
    <row r="35" spans="1:16" ht="42">
      <c r="A35" s="3">
        <v>29</v>
      </c>
      <c r="B35" s="3" t="str">
        <f>"201000001542"</f>
        <v>201000001542</v>
      </c>
      <c r="C35" s="3" t="str">
        <f>"33745"</f>
        <v>33745</v>
      </c>
      <c r="D35" s="3" t="s">
        <v>190</v>
      </c>
      <c r="E35" s="3">
        <v>20501458164</v>
      </c>
      <c r="F35" s="3" t="s">
        <v>191</v>
      </c>
      <c r="G35" s="3" t="s">
        <v>192</v>
      </c>
      <c r="H35" s="3" t="s">
        <v>193</v>
      </c>
      <c r="I35" s="3" t="s">
        <v>194</v>
      </c>
      <c r="J35" s="3" t="s">
        <v>195</v>
      </c>
      <c r="K35" s="3" t="s">
        <v>43</v>
      </c>
      <c r="L35" s="3" t="s">
        <v>43</v>
      </c>
      <c r="M35" s="3" t="s">
        <v>196</v>
      </c>
      <c r="N35" s="4">
        <v>38405</v>
      </c>
      <c r="O35" s="3" t="s">
        <v>26</v>
      </c>
      <c r="P35" s="3" t="s">
        <v>197</v>
      </c>
    </row>
    <row r="36" spans="1:16" ht="55.5">
      <c r="A36" s="3">
        <v>30</v>
      </c>
      <c r="B36" s="3" t="str">
        <f>"201800189791"</f>
        <v>201800189791</v>
      </c>
      <c r="C36" s="3" t="str">
        <f>"107963"</f>
        <v>107963</v>
      </c>
      <c r="D36" s="3" t="s">
        <v>198</v>
      </c>
      <c r="E36" s="3">
        <v>20262463771</v>
      </c>
      <c r="F36" s="3" t="s">
        <v>136</v>
      </c>
      <c r="G36" s="3" t="s">
        <v>199</v>
      </c>
      <c r="H36" s="3" t="s">
        <v>20</v>
      </c>
      <c r="I36" s="3" t="s">
        <v>200</v>
      </c>
      <c r="J36" s="3" t="s">
        <v>87</v>
      </c>
      <c r="K36" s="3" t="s">
        <v>61</v>
      </c>
      <c r="L36" s="3" t="s">
        <v>61</v>
      </c>
      <c r="M36" s="3" t="s">
        <v>88</v>
      </c>
      <c r="N36" s="4">
        <v>43430</v>
      </c>
      <c r="O36" s="4">
        <v>44430</v>
      </c>
      <c r="P36" s="3" t="s">
        <v>201</v>
      </c>
    </row>
    <row r="37" spans="1:16" ht="42">
      <c r="A37" s="3">
        <v>31</v>
      </c>
      <c r="B37" s="3" t="str">
        <f>"202000077671"</f>
        <v>202000077671</v>
      </c>
      <c r="C37" s="3" t="str">
        <f>"149641"</f>
        <v>149641</v>
      </c>
      <c r="D37" s="3" t="s">
        <v>202</v>
      </c>
      <c r="E37" s="3">
        <v>20601147450</v>
      </c>
      <c r="F37" s="3" t="s">
        <v>125</v>
      </c>
      <c r="G37" s="3" t="s">
        <v>203</v>
      </c>
      <c r="H37" s="3" t="s">
        <v>193</v>
      </c>
      <c r="I37" s="3" t="s">
        <v>66</v>
      </c>
      <c r="J37" s="3" t="s">
        <v>67</v>
      </c>
      <c r="K37" s="3" t="s">
        <v>68</v>
      </c>
      <c r="L37" s="3" t="s">
        <v>69</v>
      </c>
      <c r="M37" s="3" t="s">
        <v>70</v>
      </c>
      <c r="N37" s="4">
        <v>44032</v>
      </c>
      <c r="O37" s="3" t="s">
        <v>26</v>
      </c>
      <c r="P37" s="3" t="s">
        <v>204</v>
      </c>
    </row>
    <row r="38" spans="1:16" ht="42">
      <c r="A38" s="3">
        <v>32</v>
      </c>
      <c r="B38" s="3" t="str">
        <f>"202000065605"</f>
        <v>202000065605</v>
      </c>
      <c r="C38" s="3" t="str">
        <f>"149801"</f>
        <v>149801</v>
      </c>
      <c r="D38" s="3" t="s">
        <v>205</v>
      </c>
      <c r="E38" s="3">
        <v>20601147450</v>
      </c>
      <c r="F38" s="3" t="s">
        <v>125</v>
      </c>
      <c r="G38" s="3" t="s">
        <v>126</v>
      </c>
      <c r="H38" s="3" t="s">
        <v>20</v>
      </c>
      <c r="I38" s="3" t="s">
        <v>138</v>
      </c>
      <c r="J38" s="3" t="s">
        <v>206</v>
      </c>
      <c r="K38" s="3" t="s">
        <v>140</v>
      </c>
      <c r="L38" s="3" t="s">
        <v>141</v>
      </c>
      <c r="M38" s="3" t="s">
        <v>142</v>
      </c>
      <c r="N38" s="4">
        <v>44026</v>
      </c>
      <c r="O38" s="4">
        <v>45044</v>
      </c>
      <c r="P38" s="3" t="s">
        <v>207</v>
      </c>
    </row>
    <row r="39" spans="1:16" ht="55.5">
      <c r="A39" s="3">
        <v>33</v>
      </c>
      <c r="B39" s="3" t="str">
        <f>"201800205815"</f>
        <v>201800205815</v>
      </c>
      <c r="C39" s="3" t="str">
        <f>"140291"</f>
        <v>140291</v>
      </c>
      <c r="D39" s="3" t="s">
        <v>208</v>
      </c>
      <c r="E39" s="3">
        <v>20565643496</v>
      </c>
      <c r="F39" s="3" t="s">
        <v>209</v>
      </c>
      <c r="G39" s="3" t="s">
        <v>210</v>
      </c>
      <c r="H39" s="3" t="s">
        <v>112</v>
      </c>
      <c r="I39" s="3" t="s">
        <v>211</v>
      </c>
      <c r="J39" s="3" t="s">
        <v>212</v>
      </c>
      <c r="K39" s="3" t="s">
        <v>213</v>
      </c>
      <c r="L39" s="3" t="s">
        <v>214</v>
      </c>
      <c r="M39" s="3" t="s">
        <v>215</v>
      </c>
      <c r="N39" s="4">
        <v>43815</v>
      </c>
      <c r="O39" s="4">
        <v>45125</v>
      </c>
      <c r="P39" s="3" t="s">
        <v>216</v>
      </c>
    </row>
    <row r="40" spans="1:16" ht="27.75">
      <c r="A40" s="3">
        <v>34</v>
      </c>
      <c r="B40" s="3" t="str">
        <f>"201700080949"</f>
        <v>201700080949</v>
      </c>
      <c r="C40" s="3" t="str">
        <f>"112492"</f>
        <v>112492</v>
      </c>
      <c r="D40" s="3" t="s">
        <v>217</v>
      </c>
      <c r="E40" s="3">
        <v>20554545743</v>
      </c>
      <c r="F40" s="3" t="s">
        <v>218</v>
      </c>
      <c r="G40" s="3" t="s">
        <v>219</v>
      </c>
      <c r="H40" s="3" t="s">
        <v>20</v>
      </c>
      <c r="I40" s="3" t="s">
        <v>185</v>
      </c>
      <c r="J40" s="3" t="s">
        <v>220</v>
      </c>
      <c r="K40" s="3" t="s">
        <v>61</v>
      </c>
      <c r="L40" s="3" t="s">
        <v>61</v>
      </c>
      <c r="M40" s="3" t="s">
        <v>88</v>
      </c>
      <c r="N40" s="4">
        <v>42920</v>
      </c>
      <c r="O40" s="4">
        <v>44778</v>
      </c>
      <c r="P40" s="3" t="s">
        <v>221</v>
      </c>
    </row>
    <row r="41" spans="1:16" ht="42">
      <c r="A41" s="3">
        <v>35</v>
      </c>
      <c r="B41" s="3" t="str">
        <f>"202000056058"</f>
        <v>202000056058</v>
      </c>
      <c r="C41" s="3" t="str">
        <f>"125534"</f>
        <v>125534</v>
      </c>
      <c r="D41" s="3" t="s">
        <v>222</v>
      </c>
      <c r="E41" s="3">
        <v>20600427734</v>
      </c>
      <c r="F41" s="3" t="s">
        <v>223</v>
      </c>
      <c r="G41" s="3" t="s">
        <v>224</v>
      </c>
      <c r="H41" s="3" t="s">
        <v>130</v>
      </c>
      <c r="I41" s="3" t="s">
        <v>225</v>
      </c>
      <c r="J41" s="3" t="s">
        <v>226</v>
      </c>
      <c r="K41" s="3" t="s">
        <v>52</v>
      </c>
      <c r="L41" s="3" t="s">
        <v>53</v>
      </c>
      <c r="M41" s="3" t="s">
        <v>54</v>
      </c>
      <c r="N41" s="4">
        <v>43991</v>
      </c>
      <c r="O41" s="4">
        <v>45551</v>
      </c>
      <c r="P41" s="3" t="s">
        <v>71</v>
      </c>
    </row>
    <row r="42" spans="1:16" ht="27.75">
      <c r="A42" s="3">
        <v>36</v>
      </c>
      <c r="B42" s="3" t="str">
        <f>"202000018838"</f>
        <v>202000018838</v>
      </c>
      <c r="C42" s="3" t="str">
        <f>"125524"</f>
        <v>125524</v>
      </c>
      <c r="D42" s="3" t="s">
        <v>227</v>
      </c>
      <c r="E42" s="3">
        <v>20600427734</v>
      </c>
      <c r="F42" s="3" t="s">
        <v>18</v>
      </c>
      <c r="G42" s="3" t="s">
        <v>228</v>
      </c>
      <c r="H42" s="3" t="s">
        <v>85</v>
      </c>
      <c r="I42" s="3" t="s">
        <v>229</v>
      </c>
      <c r="J42" s="3" t="s">
        <v>230</v>
      </c>
      <c r="K42" s="3" t="s">
        <v>43</v>
      </c>
      <c r="L42" s="3" t="s">
        <v>44</v>
      </c>
      <c r="M42" s="3" t="s">
        <v>45</v>
      </c>
      <c r="N42" s="4">
        <v>43903</v>
      </c>
      <c r="O42" s="4">
        <v>45063</v>
      </c>
      <c r="P42" s="3" t="s">
        <v>231</v>
      </c>
    </row>
    <row r="43" spans="1:16" ht="55.5">
      <c r="A43" s="3">
        <v>37</v>
      </c>
      <c r="B43" s="3" t="str">
        <f>"201800112436"</f>
        <v>201800112436</v>
      </c>
      <c r="C43" s="3" t="str">
        <f>"104323"</f>
        <v>104323</v>
      </c>
      <c r="D43" s="3" t="s">
        <v>232</v>
      </c>
      <c r="E43" s="3">
        <v>20553167672</v>
      </c>
      <c r="F43" s="3" t="s">
        <v>159</v>
      </c>
      <c r="G43" s="3" t="s">
        <v>233</v>
      </c>
      <c r="H43" s="3" t="s">
        <v>234</v>
      </c>
      <c r="I43" s="3" t="s">
        <v>235</v>
      </c>
      <c r="J43" s="3" t="s">
        <v>236</v>
      </c>
      <c r="K43" s="3" t="s">
        <v>43</v>
      </c>
      <c r="L43" s="3" t="s">
        <v>43</v>
      </c>
      <c r="M43" s="3" t="s">
        <v>196</v>
      </c>
      <c r="N43" s="4">
        <v>43294</v>
      </c>
      <c r="O43" s="4">
        <v>45125</v>
      </c>
      <c r="P43" s="3" t="s">
        <v>237</v>
      </c>
    </row>
    <row r="44" spans="1:16" ht="27.75">
      <c r="A44" s="3">
        <v>38</v>
      </c>
      <c r="B44" s="3" t="str">
        <f>"202000080605"</f>
        <v>202000080605</v>
      </c>
      <c r="C44" s="3" t="str">
        <f>"33816"</f>
        <v>33816</v>
      </c>
      <c r="D44" s="3" t="s">
        <v>238</v>
      </c>
      <c r="E44" s="3">
        <v>20503840121</v>
      </c>
      <c r="F44" s="3" t="s">
        <v>91</v>
      </c>
      <c r="G44" s="3" t="s">
        <v>239</v>
      </c>
      <c r="H44" s="3" t="s">
        <v>130</v>
      </c>
      <c r="I44" s="3" t="s">
        <v>240</v>
      </c>
      <c r="J44" s="3" t="s">
        <v>226</v>
      </c>
      <c r="K44" s="3" t="s">
        <v>52</v>
      </c>
      <c r="L44" s="3" t="s">
        <v>53</v>
      </c>
      <c r="M44" s="3" t="s">
        <v>54</v>
      </c>
      <c r="N44" s="4">
        <v>44025</v>
      </c>
      <c r="O44" s="4">
        <v>44681</v>
      </c>
      <c r="P44" s="3" t="s">
        <v>241</v>
      </c>
    </row>
    <row r="45" spans="1:16" ht="55.5">
      <c r="A45" s="3">
        <v>39</v>
      </c>
      <c r="B45" s="3" t="str">
        <f>"201800055561"</f>
        <v>201800055561</v>
      </c>
      <c r="C45" s="3" t="str">
        <f>"33801"</f>
        <v>33801</v>
      </c>
      <c r="D45" s="3" t="s">
        <v>242</v>
      </c>
      <c r="E45" s="3">
        <v>20259829594</v>
      </c>
      <c r="F45" s="3" t="s">
        <v>39</v>
      </c>
      <c r="G45" s="3" t="s">
        <v>40</v>
      </c>
      <c r="H45" s="3" t="s">
        <v>243</v>
      </c>
      <c r="I45" s="3" t="s">
        <v>153</v>
      </c>
      <c r="J45" s="3" t="s">
        <v>22</v>
      </c>
      <c r="K45" s="3" t="s">
        <v>23</v>
      </c>
      <c r="L45" s="3" t="s">
        <v>24</v>
      </c>
      <c r="M45" s="3" t="s">
        <v>25</v>
      </c>
      <c r="N45" s="4">
        <v>43203</v>
      </c>
      <c r="O45" s="3" t="s">
        <v>26</v>
      </c>
      <c r="P45" s="3" t="s">
        <v>143</v>
      </c>
    </row>
    <row r="46" spans="1:16" ht="55.5">
      <c r="A46" s="3">
        <v>40</v>
      </c>
      <c r="B46" s="3" t="str">
        <f>"202000131505"</f>
        <v>202000131505</v>
      </c>
      <c r="C46" s="3" t="str">
        <f>"112772"</f>
        <v>112772</v>
      </c>
      <c r="D46" s="3" t="s">
        <v>244</v>
      </c>
      <c r="E46" s="3">
        <v>20554545743</v>
      </c>
      <c r="F46" s="3" t="s">
        <v>218</v>
      </c>
      <c r="G46" s="3" t="s">
        <v>245</v>
      </c>
      <c r="H46" s="3" t="s">
        <v>246</v>
      </c>
      <c r="I46" s="3" t="s">
        <v>103</v>
      </c>
      <c r="J46" s="3" t="s">
        <v>247</v>
      </c>
      <c r="K46" s="3" t="s">
        <v>105</v>
      </c>
      <c r="L46" s="3" t="s">
        <v>106</v>
      </c>
      <c r="M46" s="3" t="s">
        <v>107</v>
      </c>
      <c r="N46" s="4">
        <v>44112</v>
      </c>
      <c r="O46" s="4">
        <v>45509</v>
      </c>
      <c r="P46" s="3" t="s">
        <v>248</v>
      </c>
    </row>
    <row r="47" spans="1:16" ht="42">
      <c r="A47" s="3">
        <v>41</v>
      </c>
      <c r="B47" s="3" t="str">
        <f>"201800205810"</f>
        <v>201800205810</v>
      </c>
      <c r="C47" s="3" t="str">
        <f>"140290"</f>
        <v>140290</v>
      </c>
      <c r="D47" s="3" t="s">
        <v>249</v>
      </c>
      <c r="E47" s="3">
        <v>20565643496</v>
      </c>
      <c r="F47" s="3" t="s">
        <v>250</v>
      </c>
      <c r="G47" s="3" t="s">
        <v>251</v>
      </c>
      <c r="H47" s="3" t="s">
        <v>20</v>
      </c>
      <c r="I47" s="3" t="s">
        <v>41</v>
      </c>
      <c r="J47" s="3" t="s">
        <v>252</v>
      </c>
      <c r="K47" s="3" t="s">
        <v>43</v>
      </c>
      <c r="L47" s="3" t="s">
        <v>44</v>
      </c>
      <c r="M47" s="3" t="s">
        <v>45</v>
      </c>
      <c r="N47" s="4">
        <v>43452</v>
      </c>
      <c r="O47" s="4">
        <v>45212</v>
      </c>
      <c r="P47" s="3" t="s">
        <v>253</v>
      </c>
    </row>
    <row r="48" spans="1:16" ht="27.75">
      <c r="A48" s="3">
        <v>42</v>
      </c>
      <c r="B48" s="3" t="str">
        <f>"202000080601"</f>
        <v>202000080601</v>
      </c>
      <c r="C48" s="3" t="str">
        <f>"33815"</f>
        <v>33815</v>
      </c>
      <c r="D48" s="3" t="s">
        <v>254</v>
      </c>
      <c r="E48" s="3">
        <v>20503840121</v>
      </c>
      <c r="F48" s="3" t="s">
        <v>91</v>
      </c>
      <c r="G48" s="3" t="s">
        <v>239</v>
      </c>
      <c r="H48" s="3" t="s">
        <v>255</v>
      </c>
      <c r="I48" s="3" t="s">
        <v>131</v>
      </c>
      <c r="J48" s="3" t="s">
        <v>256</v>
      </c>
      <c r="K48" s="3" t="s">
        <v>52</v>
      </c>
      <c r="L48" s="3" t="s">
        <v>52</v>
      </c>
      <c r="M48" s="3" t="s">
        <v>52</v>
      </c>
      <c r="N48" s="4">
        <v>44022</v>
      </c>
      <c r="O48" s="4">
        <v>44681</v>
      </c>
      <c r="P48" s="3" t="s">
        <v>231</v>
      </c>
    </row>
    <row r="49" spans="1:16" ht="42">
      <c r="A49" s="3">
        <v>43</v>
      </c>
      <c r="B49" s="3" t="str">
        <f>"201900184765"</f>
        <v>201900184765</v>
      </c>
      <c r="C49" s="3" t="str">
        <f>"33810"</f>
        <v>33810</v>
      </c>
      <c r="D49" s="3" t="s">
        <v>257</v>
      </c>
      <c r="E49" s="3">
        <v>20503840121</v>
      </c>
      <c r="F49" s="3" t="s">
        <v>91</v>
      </c>
      <c r="G49" s="3" t="s">
        <v>258</v>
      </c>
      <c r="H49" s="3" t="s">
        <v>20</v>
      </c>
      <c r="I49" s="3" t="s">
        <v>41</v>
      </c>
      <c r="J49" s="3" t="s">
        <v>259</v>
      </c>
      <c r="K49" s="3" t="s">
        <v>43</v>
      </c>
      <c r="L49" s="3" t="s">
        <v>44</v>
      </c>
      <c r="M49" s="3" t="s">
        <v>45</v>
      </c>
      <c r="N49" s="4">
        <v>43784</v>
      </c>
      <c r="O49" s="4">
        <v>44192</v>
      </c>
      <c r="P49" s="3" t="s">
        <v>260</v>
      </c>
    </row>
    <row r="50" spans="1:16" ht="69.75">
      <c r="A50" s="3">
        <v>44</v>
      </c>
      <c r="B50" s="3" t="str">
        <f>"202000065595"</f>
        <v>202000065595</v>
      </c>
      <c r="C50" s="3" t="str">
        <f>"149760"</f>
        <v>149760</v>
      </c>
      <c r="D50" s="3" t="s">
        <v>261</v>
      </c>
      <c r="E50" s="3">
        <v>20601147450</v>
      </c>
      <c r="F50" s="3" t="s">
        <v>125</v>
      </c>
      <c r="G50" s="3" t="s">
        <v>262</v>
      </c>
      <c r="H50" s="3" t="s">
        <v>246</v>
      </c>
      <c r="I50" s="3" t="s">
        <v>263</v>
      </c>
      <c r="J50" s="3" t="s">
        <v>264</v>
      </c>
      <c r="K50" s="3" t="s">
        <v>265</v>
      </c>
      <c r="L50" s="3" t="s">
        <v>266</v>
      </c>
      <c r="M50" s="3" t="s">
        <v>267</v>
      </c>
      <c r="N50" s="4">
        <v>44006</v>
      </c>
      <c r="O50" s="4">
        <v>45043</v>
      </c>
      <c r="P50" s="3" t="s">
        <v>27</v>
      </c>
    </row>
    <row r="51" spans="1:16" ht="27.75">
      <c r="A51" s="3">
        <v>45</v>
      </c>
      <c r="B51" s="3" t="str">
        <f>"202000145414"</f>
        <v>202000145414</v>
      </c>
      <c r="C51" s="3" t="str">
        <f>"151237"</f>
        <v>151237</v>
      </c>
      <c r="D51" s="3" t="s">
        <v>268</v>
      </c>
      <c r="E51" s="3">
        <v>20506151547</v>
      </c>
      <c r="F51" s="3" t="s">
        <v>95</v>
      </c>
      <c r="G51" s="3" t="s">
        <v>129</v>
      </c>
      <c r="H51" s="3" t="s">
        <v>20</v>
      </c>
      <c r="I51" s="3" t="s">
        <v>21</v>
      </c>
      <c r="J51" s="3" t="s">
        <v>269</v>
      </c>
      <c r="K51" s="3" t="s">
        <v>23</v>
      </c>
      <c r="L51" s="3" t="s">
        <v>24</v>
      </c>
      <c r="M51" s="3" t="s">
        <v>25</v>
      </c>
      <c r="N51" s="4">
        <v>44130</v>
      </c>
      <c r="O51" s="4">
        <v>44196</v>
      </c>
      <c r="P51" s="3" t="s">
        <v>270</v>
      </c>
    </row>
    <row r="52" spans="1:16" ht="42">
      <c r="A52" s="3">
        <v>46</v>
      </c>
      <c r="B52" s="3" t="str">
        <f>"201900182626"</f>
        <v>201900182626</v>
      </c>
      <c r="C52" s="3" t="str">
        <f>"33800"</f>
        <v>33800</v>
      </c>
      <c r="D52" s="3" t="s">
        <v>271</v>
      </c>
      <c r="E52" s="3">
        <v>20259829594</v>
      </c>
      <c r="F52" s="3" t="s">
        <v>272</v>
      </c>
      <c r="G52" s="3" t="s">
        <v>40</v>
      </c>
      <c r="H52" s="3" t="s">
        <v>246</v>
      </c>
      <c r="I52" s="3" t="s">
        <v>263</v>
      </c>
      <c r="J52" s="3" t="s">
        <v>264</v>
      </c>
      <c r="K52" s="3" t="s">
        <v>265</v>
      </c>
      <c r="L52" s="3" t="s">
        <v>266</v>
      </c>
      <c r="M52" s="3" t="s">
        <v>267</v>
      </c>
      <c r="N52" s="4">
        <v>43781</v>
      </c>
      <c r="O52" s="3" t="s">
        <v>26</v>
      </c>
      <c r="P52" s="3" t="s">
        <v>273</v>
      </c>
    </row>
    <row r="53" spans="1:16" ht="55.5">
      <c r="A53" s="3">
        <v>47</v>
      </c>
      <c r="B53" s="3" t="str">
        <f>"201900062518"</f>
        <v>201900062518</v>
      </c>
      <c r="C53" s="3" t="str">
        <f>"142722"</f>
        <v>142722</v>
      </c>
      <c r="D53" s="3" t="s">
        <v>274</v>
      </c>
      <c r="E53" s="3">
        <v>20603522282</v>
      </c>
      <c r="F53" s="3" t="s">
        <v>275</v>
      </c>
      <c r="G53" s="3" t="s">
        <v>276</v>
      </c>
      <c r="H53" s="3" t="s">
        <v>39</v>
      </c>
      <c r="I53" s="3" t="s">
        <v>277</v>
      </c>
      <c r="J53" s="3" t="s">
        <v>60</v>
      </c>
      <c r="K53" s="3" t="s">
        <v>61</v>
      </c>
      <c r="L53" s="3" t="s">
        <v>61</v>
      </c>
      <c r="M53" s="3" t="s">
        <v>62</v>
      </c>
      <c r="N53" s="4">
        <v>43591</v>
      </c>
      <c r="O53" s="4">
        <v>44319</v>
      </c>
      <c r="P53" s="3" t="s">
        <v>278</v>
      </c>
    </row>
    <row r="54" spans="1:16" ht="42">
      <c r="A54" s="3">
        <v>48</v>
      </c>
      <c r="B54" s="3" t="str">
        <f>"201500128960"</f>
        <v>201500128960</v>
      </c>
      <c r="C54" s="3" t="str">
        <f>"33784"</f>
        <v>33784</v>
      </c>
      <c r="D54" s="3" t="s">
        <v>279</v>
      </c>
      <c r="E54" s="3">
        <v>20100128218</v>
      </c>
      <c r="F54" s="3" t="s">
        <v>280</v>
      </c>
      <c r="G54" s="3" t="s">
        <v>74</v>
      </c>
      <c r="H54" s="3" t="s">
        <v>112</v>
      </c>
      <c r="I54" s="3" t="s">
        <v>281</v>
      </c>
      <c r="J54" s="3" t="s">
        <v>282</v>
      </c>
      <c r="K54" s="3" t="s">
        <v>265</v>
      </c>
      <c r="L54" s="3" t="s">
        <v>266</v>
      </c>
      <c r="M54" s="3" t="s">
        <v>267</v>
      </c>
      <c r="N54" s="4">
        <v>42376</v>
      </c>
      <c r="O54" s="3" t="s">
        <v>26</v>
      </c>
      <c r="P54" s="3" t="s">
        <v>283</v>
      </c>
    </row>
    <row r="55" spans="1:16" ht="42">
      <c r="A55" s="3">
        <v>49</v>
      </c>
      <c r="B55" s="3" t="str">
        <f>"202000077575"</f>
        <v>202000077575</v>
      </c>
      <c r="C55" s="3" t="str">
        <f>"149878"</f>
        <v>149878</v>
      </c>
      <c r="D55" s="3" t="s">
        <v>284</v>
      </c>
      <c r="E55" s="3">
        <v>20601147450</v>
      </c>
      <c r="F55" s="3" t="s">
        <v>125</v>
      </c>
      <c r="G55" s="3" t="s">
        <v>126</v>
      </c>
      <c r="H55" s="3" t="s">
        <v>285</v>
      </c>
      <c r="I55" s="3" t="s">
        <v>286</v>
      </c>
      <c r="J55" s="3" t="s">
        <v>287</v>
      </c>
      <c r="K55" s="3" t="s">
        <v>288</v>
      </c>
      <c r="L55" s="3" t="s">
        <v>289</v>
      </c>
      <c r="M55" s="3" t="s">
        <v>289</v>
      </c>
      <c r="N55" s="4">
        <v>44034</v>
      </c>
      <c r="O55" s="4">
        <v>45044</v>
      </c>
      <c r="P55" s="3" t="s">
        <v>290</v>
      </c>
    </row>
    <row r="56" spans="1:16" ht="111.75">
      <c r="A56" s="3">
        <v>50</v>
      </c>
      <c r="B56" s="3" t="str">
        <f>"201400010970"</f>
        <v>201400010970</v>
      </c>
      <c r="C56" s="3" t="str">
        <f>"33793"</f>
        <v>33793</v>
      </c>
      <c r="D56" s="3" t="s">
        <v>291</v>
      </c>
      <c r="E56" s="3">
        <v>20100128218</v>
      </c>
      <c r="F56" s="3" t="s">
        <v>292</v>
      </c>
      <c r="G56" s="3" t="s">
        <v>293</v>
      </c>
      <c r="H56" s="3" t="s">
        <v>193</v>
      </c>
      <c r="I56" s="3" t="s">
        <v>294</v>
      </c>
      <c r="J56" s="3" t="s">
        <v>236</v>
      </c>
      <c r="K56" s="3" t="s">
        <v>43</v>
      </c>
      <c r="L56" s="3" t="s">
        <v>43</v>
      </c>
      <c r="M56" s="3" t="s">
        <v>196</v>
      </c>
      <c r="N56" s="4">
        <v>41716</v>
      </c>
      <c r="O56" s="3" t="s">
        <v>26</v>
      </c>
      <c r="P56" s="3" t="s">
        <v>295</v>
      </c>
    </row>
    <row r="57" spans="1:16" ht="42">
      <c r="A57" s="3">
        <v>51</v>
      </c>
      <c r="B57" s="3" t="str">
        <f>"202000077660"</f>
        <v>202000077660</v>
      </c>
      <c r="C57" s="3" t="str">
        <f>"149633"</f>
        <v>149633</v>
      </c>
      <c r="D57" s="3" t="s">
        <v>296</v>
      </c>
      <c r="E57" s="3">
        <v>20601147450</v>
      </c>
      <c r="F57" s="3" t="s">
        <v>125</v>
      </c>
      <c r="G57" s="3" t="s">
        <v>297</v>
      </c>
      <c r="H57" s="3"/>
      <c r="I57" s="3"/>
      <c r="J57" s="3" t="s">
        <v>298</v>
      </c>
      <c r="K57" s="3" t="s">
        <v>213</v>
      </c>
      <c r="L57" s="3" t="s">
        <v>214</v>
      </c>
      <c r="M57" s="3" t="s">
        <v>215</v>
      </c>
      <c r="N57" s="4">
        <v>44018</v>
      </c>
      <c r="O57" s="3" t="s">
        <v>26</v>
      </c>
      <c r="P57" s="3"/>
    </row>
    <row r="58" spans="1:16" ht="27.75">
      <c r="A58" s="3">
        <v>52</v>
      </c>
      <c r="B58" s="3" t="str">
        <f>"202000018829"</f>
        <v>202000018829</v>
      </c>
      <c r="C58" s="3" t="str">
        <f>"125526"</f>
        <v>125526</v>
      </c>
      <c r="D58" s="3" t="s">
        <v>299</v>
      </c>
      <c r="E58" s="3">
        <v>20600427734</v>
      </c>
      <c r="F58" s="3" t="s">
        <v>18</v>
      </c>
      <c r="G58" s="3" t="s">
        <v>300</v>
      </c>
      <c r="H58" s="3"/>
      <c r="I58" s="3"/>
      <c r="J58" s="3" t="s">
        <v>67</v>
      </c>
      <c r="K58" s="3" t="s">
        <v>68</v>
      </c>
      <c r="L58" s="3" t="s">
        <v>69</v>
      </c>
      <c r="M58" s="3" t="s">
        <v>70</v>
      </c>
      <c r="N58" s="4">
        <v>43874</v>
      </c>
      <c r="O58" s="3" t="s">
        <v>26</v>
      </c>
      <c r="P58" s="3" t="s">
        <v>204</v>
      </c>
    </row>
    <row r="59" spans="1:16" ht="27.75">
      <c r="A59" s="3">
        <v>53</v>
      </c>
      <c r="B59" s="3" t="str">
        <f>"201800112421"</f>
        <v>201800112421</v>
      </c>
      <c r="C59" s="3" t="str">
        <f>"105613"</f>
        <v>105613</v>
      </c>
      <c r="D59" s="3" t="s">
        <v>301</v>
      </c>
      <c r="E59" s="3">
        <v>20553167672</v>
      </c>
      <c r="F59" s="3" t="s">
        <v>159</v>
      </c>
      <c r="G59" s="3" t="s">
        <v>302</v>
      </c>
      <c r="H59" s="3" t="s">
        <v>112</v>
      </c>
      <c r="I59" s="3" t="s">
        <v>303</v>
      </c>
      <c r="J59" s="3" t="s">
        <v>304</v>
      </c>
      <c r="K59" s="3" t="s">
        <v>288</v>
      </c>
      <c r="L59" s="3" t="s">
        <v>289</v>
      </c>
      <c r="M59" s="3" t="s">
        <v>289</v>
      </c>
      <c r="N59" s="4">
        <v>43294</v>
      </c>
      <c r="O59" s="4">
        <v>45125</v>
      </c>
      <c r="P59" s="3" t="s">
        <v>305</v>
      </c>
    </row>
    <row r="60" spans="1:16" ht="42">
      <c r="A60" s="3">
        <v>54</v>
      </c>
      <c r="B60" s="3" t="str">
        <f>"201600153092"</f>
        <v>201600153092</v>
      </c>
      <c r="C60" s="3" t="str">
        <f>"113814"</f>
        <v>113814</v>
      </c>
      <c r="D60" s="3" t="s">
        <v>306</v>
      </c>
      <c r="E60" s="3">
        <v>20259829594</v>
      </c>
      <c r="F60" s="3" t="s">
        <v>39</v>
      </c>
      <c r="G60" s="3" t="s">
        <v>307</v>
      </c>
      <c r="H60" s="3" t="s">
        <v>20</v>
      </c>
      <c r="I60" s="3" t="s">
        <v>185</v>
      </c>
      <c r="J60" s="3" t="s">
        <v>308</v>
      </c>
      <c r="K60" s="3" t="s">
        <v>61</v>
      </c>
      <c r="L60" s="3" t="s">
        <v>61</v>
      </c>
      <c r="M60" s="3" t="s">
        <v>88</v>
      </c>
      <c r="N60" s="4">
        <v>42677</v>
      </c>
      <c r="O60" s="3" t="s">
        <v>26</v>
      </c>
      <c r="P60" s="3" t="s">
        <v>309</v>
      </c>
    </row>
    <row r="61" spans="1:16" ht="42">
      <c r="A61" s="3">
        <v>55</v>
      </c>
      <c r="B61" s="3" t="str">
        <f>"201600136759"</f>
        <v>201600136759</v>
      </c>
      <c r="C61" s="3" t="str">
        <f>"34096"</f>
        <v>34096</v>
      </c>
      <c r="D61" s="3" t="s">
        <v>310</v>
      </c>
      <c r="E61" s="3">
        <v>20262463771</v>
      </c>
      <c r="F61" s="3" t="s">
        <v>311</v>
      </c>
      <c r="G61" s="3" t="s">
        <v>312</v>
      </c>
      <c r="H61" s="3" t="s">
        <v>112</v>
      </c>
      <c r="I61" s="3" t="s">
        <v>263</v>
      </c>
      <c r="J61" s="3" t="s">
        <v>282</v>
      </c>
      <c r="K61" s="3" t="s">
        <v>265</v>
      </c>
      <c r="L61" s="3" t="s">
        <v>266</v>
      </c>
      <c r="M61" s="3" t="s">
        <v>267</v>
      </c>
      <c r="N61" s="4">
        <v>42676</v>
      </c>
      <c r="O61" s="4">
        <v>44429</v>
      </c>
      <c r="P61" s="3" t="s">
        <v>313</v>
      </c>
    </row>
    <row r="62" spans="1:16" ht="42">
      <c r="A62" s="3">
        <v>56</v>
      </c>
      <c r="B62" s="3" t="str">
        <f>"202000146823"</f>
        <v>202000146823</v>
      </c>
      <c r="C62" s="3" t="str">
        <f>"147841"</f>
        <v>147841</v>
      </c>
      <c r="D62" s="3" t="s">
        <v>314</v>
      </c>
      <c r="E62" s="3">
        <v>20506151547</v>
      </c>
      <c r="F62" s="3" t="s">
        <v>95</v>
      </c>
      <c r="G62" s="3" t="s">
        <v>129</v>
      </c>
      <c r="H62" s="3" t="s">
        <v>315</v>
      </c>
      <c r="I62" s="3" t="s">
        <v>316</v>
      </c>
      <c r="J62" s="3" t="s">
        <v>317</v>
      </c>
      <c r="K62" s="3" t="s">
        <v>61</v>
      </c>
      <c r="L62" s="3" t="s">
        <v>61</v>
      </c>
      <c r="M62" s="3" t="s">
        <v>62</v>
      </c>
      <c r="N62" s="4">
        <v>44126</v>
      </c>
      <c r="O62" s="4">
        <v>44196</v>
      </c>
      <c r="P62" s="3" t="s">
        <v>318</v>
      </c>
    </row>
    <row r="63" spans="1:16" ht="27.75">
      <c r="A63" s="3">
        <v>57</v>
      </c>
      <c r="B63" s="3" t="str">
        <f>"201900182631"</f>
        <v>201900182631</v>
      </c>
      <c r="C63" s="3" t="str">
        <f>"33804"</f>
        <v>33804</v>
      </c>
      <c r="D63" s="3" t="s">
        <v>319</v>
      </c>
      <c r="E63" s="3">
        <v>20259829594</v>
      </c>
      <c r="F63" s="3" t="s">
        <v>39</v>
      </c>
      <c r="G63" s="3" t="s">
        <v>40</v>
      </c>
      <c r="H63" s="3" t="s">
        <v>285</v>
      </c>
      <c r="I63" s="3" t="s">
        <v>286</v>
      </c>
      <c r="J63" s="3" t="s">
        <v>320</v>
      </c>
      <c r="K63" s="3" t="s">
        <v>288</v>
      </c>
      <c r="L63" s="3" t="s">
        <v>289</v>
      </c>
      <c r="M63" s="3" t="s">
        <v>289</v>
      </c>
      <c r="N63" s="4">
        <v>43776</v>
      </c>
      <c r="O63" s="4">
        <v>44138</v>
      </c>
      <c r="P63" s="3" t="s">
        <v>321</v>
      </c>
    </row>
    <row r="64" spans="1:16" ht="27.75">
      <c r="A64" s="3">
        <v>58</v>
      </c>
      <c r="B64" s="3" t="str">
        <f>"202000131514"</f>
        <v>202000131514</v>
      </c>
      <c r="C64" s="3" t="str">
        <f>"148169"</f>
        <v>148169</v>
      </c>
      <c r="D64" s="3" t="s">
        <v>322</v>
      </c>
      <c r="E64" s="3">
        <v>20554545743</v>
      </c>
      <c r="F64" s="3" t="s">
        <v>218</v>
      </c>
      <c r="G64" s="3" t="s">
        <v>323</v>
      </c>
      <c r="H64" s="3" t="s">
        <v>324</v>
      </c>
      <c r="I64" s="3" t="s">
        <v>325</v>
      </c>
      <c r="J64" s="3" t="s">
        <v>326</v>
      </c>
      <c r="K64" s="3" t="s">
        <v>61</v>
      </c>
      <c r="L64" s="3" t="s">
        <v>61</v>
      </c>
      <c r="M64" s="3" t="s">
        <v>88</v>
      </c>
      <c r="N64" s="4">
        <v>44124</v>
      </c>
      <c r="O64" s="4">
        <v>44287</v>
      </c>
      <c r="P64" s="3" t="s">
        <v>149</v>
      </c>
    </row>
    <row r="65" spans="1:16" ht="27.75">
      <c r="A65" s="3">
        <v>59</v>
      </c>
      <c r="B65" s="3" t="str">
        <f>"201900184775"</f>
        <v>201900184775</v>
      </c>
      <c r="C65" s="3" t="str">
        <f>"107630"</f>
        <v>107630</v>
      </c>
      <c r="D65" s="3" t="s">
        <v>327</v>
      </c>
      <c r="E65" s="3">
        <v>20503840121</v>
      </c>
      <c r="F65" s="3" t="s">
        <v>91</v>
      </c>
      <c r="G65" s="3" t="s">
        <v>328</v>
      </c>
      <c r="H65" s="3" t="s">
        <v>20</v>
      </c>
      <c r="I65" s="3" t="s">
        <v>185</v>
      </c>
      <c r="J65" s="3" t="s">
        <v>220</v>
      </c>
      <c r="K65" s="3" t="s">
        <v>61</v>
      </c>
      <c r="L65" s="3" t="s">
        <v>61</v>
      </c>
      <c r="M65" s="3" t="s">
        <v>88</v>
      </c>
      <c r="N65" s="4">
        <v>43784</v>
      </c>
      <c r="O65" s="4">
        <v>44197</v>
      </c>
      <c r="P65" s="3" t="s">
        <v>329</v>
      </c>
    </row>
    <row r="66" spans="1:16" ht="55.5">
      <c r="A66" s="3">
        <v>60</v>
      </c>
      <c r="B66" s="3" t="str">
        <f>"201800112429"</f>
        <v>201800112429</v>
      </c>
      <c r="C66" s="3" t="str">
        <f>"104273"</f>
        <v>104273</v>
      </c>
      <c r="D66" s="3" t="s">
        <v>330</v>
      </c>
      <c r="E66" s="3">
        <v>20553167672</v>
      </c>
      <c r="F66" s="3" t="s">
        <v>159</v>
      </c>
      <c r="G66" s="3" t="s">
        <v>331</v>
      </c>
      <c r="H66" s="3" t="s">
        <v>332</v>
      </c>
      <c r="I66" s="3" t="s">
        <v>200</v>
      </c>
      <c r="J66" s="3" t="s">
        <v>220</v>
      </c>
      <c r="K66" s="3" t="s">
        <v>61</v>
      </c>
      <c r="L66" s="3" t="s">
        <v>61</v>
      </c>
      <c r="M66" s="3" t="s">
        <v>88</v>
      </c>
      <c r="N66" s="4">
        <v>43294</v>
      </c>
      <c r="O66" s="4">
        <v>45125</v>
      </c>
      <c r="P66" s="3" t="s">
        <v>333</v>
      </c>
    </row>
    <row r="67" spans="1:16" ht="42">
      <c r="A67" s="3">
        <v>61</v>
      </c>
      <c r="B67" s="3" t="str">
        <f>"202000145412"</f>
        <v>202000145412</v>
      </c>
      <c r="C67" s="3" t="str">
        <f>"140491"</f>
        <v>140491</v>
      </c>
      <c r="D67" s="3" t="s">
        <v>334</v>
      </c>
      <c r="E67" s="3">
        <v>20506151547</v>
      </c>
      <c r="F67" s="3" t="s">
        <v>95</v>
      </c>
      <c r="G67" s="3" t="s">
        <v>335</v>
      </c>
      <c r="H67" s="3" t="s">
        <v>85</v>
      </c>
      <c r="I67" s="3" t="s">
        <v>316</v>
      </c>
      <c r="J67" s="3" t="s">
        <v>87</v>
      </c>
      <c r="K67" s="3" t="s">
        <v>61</v>
      </c>
      <c r="L67" s="3" t="s">
        <v>61</v>
      </c>
      <c r="M67" s="3" t="s">
        <v>88</v>
      </c>
      <c r="N67" s="4">
        <v>44127</v>
      </c>
      <c r="O67" s="4">
        <v>44196</v>
      </c>
      <c r="P67" s="3" t="s">
        <v>336</v>
      </c>
    </row>
    <row r="68" spans="1:16" ht="27.75">
      <c r="A68" s="3">
        <v>62</v>
      </c>
      <c r="B68" s="3" t="str">
        <f>"201900184740"</f>
        <v>201900184740</v>
      </c>
      <c r="C68" s="3" t="str">
        <f>"33808"</f>
        <v>33808</v>
      </c>
      <c r="D68" s="3" t="s">
        <v>337</v>
      </c>
      <c r="E68" s="3">
        <v>20503840121</v>
      </c>
      <c r="F68" s="3" t="s">
        <v>91</v>
      </c>
      <c r="G68" s="3" t="s">
        <v>170</v>
      </c>
      <c r="H68" s="3" t="s">
        <v>112</v>
      </c>
      <c r="I68" s="3" t="s">
        <v>303</v>
      </c>
      <c r="J68" s="3" t="s">
        <v>338</v>
      </c>
      <c r="K68" s="3" t="s">
        <v>288</v>
      </c>
      <c r="L68" s="3" t="s">
        <v>289</v>
      </c>
      <c r="M68" s="3" t="s">
        <v>289</v>
      </c>
      <c r="N68" s="4">
        <v>43783</v>
      </c>
      <c r="O68" s="4">
        <v>44192</v>
      </c>
      <c r="P68" s="3" t="s">
        <v>321</v>
      </c>
    </row>
    <row r="69" spans="1:16" ht="42">
      <c r="A69" s="3">
        <v>63</v>
      </c>
      <c r="B69" s="3" t="str">
        <f>"201900188046"</f>
        <v>201900188046</v>
      </c>
      <c r="C69" s="3" t="str">
        <f>"112603"</f>
        <v>112603</v>
      </c>
      <c r="D69" s="3" t="s">
        <v>339</v>
      </c>
      <c r="E69" s="3">
        <v>20554545743</v>
      </c>
      <c r="F69" s="3" t="s">
        <v>151</v>
      </c>
      <c r="G69" s="3" t="s">
        <v>340</v>
      </c>
      <c r="H69" s="3" t="s">
        <v>341</v>
      </c>
      <c r="I69" s="3" t="s">
        <v>211</v>
      </c>
      <c r="J69" s="3" t="s">
        <v>342</v>
      </c>
      <c r="K69" s="3" t="s">
        <v>213</v>
      </c>
      <c r="L69" s="3" t="s">
        <v>214</v>
      </c>
      <c r="M69" s="3" t="s">
        <v>215</v>
      </c>
      <c r="N69" s="4">
        <v>43788</v>
      </c>
      <c r="O69" s="4">
        <v>44778</v>
      </c>
      <c r="P69" s="3" t="s">
        <v>343</v>
      </c>
    </row>
    <row r="70" spans="1:16" ht="69.75">
      <c r="A70" s="3">
        <v>64</v>
      </c>
      <c r="B70" s="3" t="str">
        <f>"202000030889"</f>
        <v>202000030889</v>
      </c>
      <c r="C70" s="3" t="str">
        <f>"115287"</f>
        <v>115287</v>
      </c>
      <c r="D70" s="3" t="s">
        <v>344</v>
      </c>
      <c r="E70" s="3">
        <v>20554545743</v>
      </c>
      <c r="F70" s="3" t="s">
        <v>218</v>
      </c>
      <c r="G70" s="3" t="s">
        <v>345</v>
      </c>
      <c r="H70" s="3" t="s">
        <v>39</v>
      </c>
      <c r="I70" s="3" t="s">
        <v>277</v>
      </c>
      <c r="J70" s="3" t="s">
        <v>346</v>
      </c>
      <c r="K70" s="3" t="s">
        <v>61</v>
      </c>
      <c r="L70" s="3" t="s">
        <v>61</v>
      </c>
      <c r="M70" s="3" t="s">
        <v>88</v>
      </c>
      <c r="N70" s="4">
        <v>43889</v>
      </c>
      <c r="O70" s="4">
        <v>44286</v>
      </c>
      <c r="P70" s="3" t="s">
        <v>347</v>
      </c>
    </row>
    <row r="71" spans="1:16" ht="42">
      <c r="A71" s="3">
        <v>65</v>
      </c>
      <c r="B71" s="3" t="str">
        <f>"201800205797"</f>
        <v>201800205797</v>
      </c>
      <c r="C71" s="3" t="str">
        <f>"140288"</f>
        <v>140288</v>
      </c>
      <c r="D71" s="3" t="s">
        <v>348</v>
      </c>
      <c r="E71" s="3">
        <v>20565643496</v>
      </c>
      <c r="F71" s="3" t="s">
        <v>209</v>
      </c>
      <c r="G71" s="3" t="s">
        <v>349</v>
      </c>
      <c r="H71" s="3" t="s">
        <v>20</v>
      </c>
      <c r="I71" s="3" t="s">
        <v>153</v>
      </c>
      <c r="J71" s="3" t="s">
        <v>22</v>
      </c>
      <c r="K71" s="3" t="s">
        <v>23</v>
      </c>
      <c r="L71" s="3" t="s">
        <v>24</v>
      </c>
      <c r="M71" s="3" t="s">
        <v>25</v>
      </c>
      <c r="N71" s="4">
        <v>43447</v>
      </c>
      <c r="O71" s="4">
        <v>45195</v>
      </c>
      <c r="P71" s="3" t="s">
        <v>350</v>
      </c>
    </row>
    <row r="72" spans="1:16" ht="42">
      <c r="A72" s="3">
        <v>66</v>
      </c>
      <c r="B72" s="3" t="str">
        <f>"201900182633"</f>
        <v>201900182633</v>
      </c>
      <c r="C72" s="3" t="str">
        <f>"33803"</f>
        <v>33803</v>
      </c>
      <c r="D72" s="3" t="s">
        <v>351</v>
      </c>
      <c r="E72" s="3">
        <v>20259829594</v>
      </c>
      <c r="F72" s="3" t="s">
        <v>352</v>
      </c>
      <c r="G72" s="3" t="s">
        <v>40</v>
      </c>
      <c r="H72" s="3" t="s">
        <v>341</v>
      </c>
      <c r="I72" s="3" t="s">
        <v>211</v>
      </c>
      <c r="J72" s="3" t="s">
        <v>353</v>
      </c>
      <c r="K72" s="3" t="s">
        <v>213</v>
      </c>
      <c r="L72" s="3" t="s">
        <v>214</v>
      </c>
      <c r="M72" s="3" t="s">
        <v>215</v>
      </c>
      <c r="N72" s="4">
        <v>43775</v>
      </c>
      <c r="O72" s="3" t="s">
        <v>26</v>
      </c>
      <c r="P72" s="3" t="s">
        <v>71</v>
      </c>
    </row>
    <row r="73" spans="1:16" ht="42">
      <c r="A73" s="3">
        <v>67</v>
      </c>
      <c r="B73" s="3" t="str">
        <f>"201900184749"</f>
        <v>201900184749</v>
      </c>
      <c r="C73" s="3" t="str">
        <f>"33812"</f>
        <v>33812</v>
      </c>
      <c r="D73" s="3" t="s">
        <v>354</v>
      </c>
      <c r="E73" s="3">
        <v>20503840121</v>
      </c>
      <c r="F73" s="3" t="s">
        <v>91</v>
      </c>
      <c r="G73" s="3" t="s">
        <v>355</v>
      </c>
      <c r="H73" s="3" t="s">
        <v>246</v>
      </c>
      <c r="I73" s="3" t="s">
        <v>263</v>
      </c>
      <c r="J73" s="3" t="s">
        <v>264</v>
      </c>
      <c r="K73" s="3" t="s">
        <v>265</v>
      </c>
      <c r="L73" s="3" t="s">
        <v>266</v>
      </c>
      <c r="M73" s="3" t="s">
        <v>267</v>
      </c>
      <c r="N73" s="4">
        <v>43810</v>
      </c>
      <c r="O73" s="4">
        <v>44192</v>
      </c>
      <c r="P73" s="3" t="s">
        <v>273</v>
      </c>
    </row>
    <row r="74" spans="1:16" ht="42">
      <c r="A74" s="3">
        <v>68</v>
      </c>
      <c r="B74" s="3" t="str">
        <f>"201700098509"</f>
        <v>201700098509</v>
      </c>
      <c r="C74" s="3" t="str">
        <f>"112621"</f>
        <v>112621</v>
      </c>
      <c r="D74" s="3" t="s">
        <v>356</v>
      </c>
      <c r="E74" s="3">
        <v>20554545743</v>
      </c>
      <c r="F74" s="3" t="s">
        <v>151</v>
      </c>
      <c r="G74" s="3" t="s">
        <v>357</v>
      </c>
      <c r="H74" s="3" t="s">
        <v>85</v>
      </c>
      <c r="I74" s="3" t="s">
        <v>41</v>
      </c>
      <c r="J74" s="3" t="s">
        <v>358</v>
      </c>
      <c r="K74" s="3" t="s">
        <v>43</v>
      </c>
      <c r="L74" s="3" t="s">
        <v>44</v>
      </c>
      <c r="M74" s="3" t="s">
        <v>359</v>
      </c>
      <c r="N74" s="4">
        <v>42929</v>
      </c>
      <c r="O74" s="4">
        <v>44778</v>
      </c>
      <c r="P74" s="3" t="s">
        <v>253</v>
      </c>
    </row>
    <row r="75" spans="1:16" ht="27.75">
      <c r="A75" s="3">
        <v>69</v>
      </c>
      <c r="B75" s="3" t="str">
        <f>"202000018832"</f>
        <v>202000018832</v>
      </c>
      <c r="C75" s="3" t="str">
        <f>"125540"</f>
        <v>125540</v>
      </c>
      <c r="D75" s="3" t="s">
        <v>360</v>
      </c>
      <c r="E75" s="3">
        <v>20600427734</v>
      </c>
      <c r="F75" s="3" t="s">
        <v>18</v>
      </c>
      <c r="G75" s="3" t="s">
        <v>361</v>
      </c>
      <c r="H75" s="3" t="s">
        <v>285</v>
      </c>
      <c r="I75" s="3" t="s">
        <v>286</v>
      </c>
      <c r="J75" s="3" t="s">
        <v>287</v>
      </c>
      <c r="K75" s="3" t="s">
        <v>288</v>
      </c>
      <c r="L75" s="3" t="s">
        <v>289</v>
      </c>
      <c r="M75" s="3" t="s">
        <v>289</v>
      </c>
      <c r="N75" s="4">
        <v>43861</v>
      </c>
      <c r="O75" s="4">
        <v>45063</v>
      </c>
      <c r="P75" s="3" t="s">
        <v>290</v>
      </c>
    </row>
    <row r="76" spans="1:16" ht="27.75">
      <c r="A76" s="3">
        <v>70</v>
      </c>
      <c r="B76" s="3" t="str">
        <f>"201800200508"</f>
        <v>201800200508</v>
      </c>
      <c r="C76" s="3" t="str">
        <f>"119829"</f>
        <v>119829</v>
      </c>
      <c r="D76" s="3" t="s">
        <v>362</v>
      </c>
      <c r="E76" s="3">
        <v>20513251506</v>
      </c>
      <c r="F76" s="3" t="s">
        <v>120</v>
      </c>
      <c r="G76" s="3" t="s">
        <v>363</v>
      </c>
      <c r="H76" s="3" t="s">
        <v>130</v>
      </c>
      <c r="I76" s="3" t="s">
        <v>131</v>
      </c>
      <c r="J76" s="3" t="s">
        <v>132</v>
      </c>
      <c r="K76" s="3" t="s">
        <v>52</v>
      </c>
      <c r="L76" s="3" t="s">
        <v>52</v>
      </c>
      <c r="M76" s="3" t="s">
        <v>52</v>
      </c>
      <c r="N76" s="4">
        <v>43440</v>
      </c>
      <c r="O76" s="4">
        <v>45264</v>
      </c>
      <c r="P76" s="3" t="s">
        <v>364</v>
      </c>
    </row>
    <row r="77" spans="1:16" ht="42">
      <c r="A77" s="3">
        <v>71</v>
      </c>
      <c r="B77" s="3" t="str">
        <f>"201800102729"</f>
        <v>201800102729</v>
      </c>
      <c r="C77" s="3" t="str">
        <f>"39511"</f>
        <v>39511</v>
      </c>
      <c r="D77" s="3" t="s">
        <v>365</v>
      </c>
      <c r="E77" s="3">
        <v>20332711157</v>
      </c>
      <c r="F77" s="3" t="s">
        <v>366</v>
      </c>
      <c r="G77" s="3" t="s">
        <v>367</v>
      </c>
      <c r="H77" s="3" t="s">
        <v>112</v>
      </c>
      <c r="I77" s="3" t="s">
        <v>286</v>
      </c>
      <c r="J77" s="3" t="s">
        <v>320</v>
      </c>
      <c r="K77" s="3" t="s">
        <v>288</v>
      </c>
      <c r="L77" s="3" t="s">
        <v>289</v>
      </c>
      <c r="M77" s="3" t="s">
        <v>289</v>
      </c>
      <c r="N77" s="4">
        <v>43283</v>
      </c>
      <c r="O77" s="3" t="s">
        <v>26</v>
      </c>
      <c r="P77" s="3" t="s">
        <v>368</v>
      </c>
    </row>
    <row r="78" spans="1:16" ht="69.75">
      <c r="A78" s="3">
        <v>72</v>
      </c>
      <c r="B78" s="3" t="str">
        <f>"202000026756"</f>
        <v>202000026756</v>
      </c>
      <c r="C78" s="3" t="str">
        <f>"125541"</f>
        <v>125541</v>
      </c>
      <c r="D78" s="3" t="s">
        <v>369</v>
      </c>
      <c r="E78" s="3">
        <v>20600427734</v>
      </c>
      <c r="F78" s="3" t="s">
        <v>18</v>
      </c>
      <c r="G78" s="3" t="s">
        <v>370</v>
      </c>
      <c r="H78" s="3" t="s">
        <v>371</v>
      </c>
      <c r="I78" s="3" t="s">
        <v>263</v>
      </c>
      <c r="J78" s="3" t="s">
        <v>264</v>
      </c>
      <c r="K78" s="3" t="s">
        <v>265</v>
      </c>
      <c r="L78" s="3" t="s">
        <v>266</v>
      </c>
      <c r="M78" s="3" t="s">
        <v>267</v>
      </c>
      <c r="N78" s="4">
        <v>43899</v>
      </c>
      <c r="O78" s="4">
        <v>45063</v>
      </c>
      <c r="P78" s="3" t="s">
        <v>27</v>
      </c>
    </row>
    <row r="79" spans="1:16" ht="42">
      <c r="A79" s="3">
        <v>73</v>
      </c>
      <c r="B79" s="3" t="str">
        <f>"201800066767"</f>
        <v>201800066767</v>
      </c>
      <c r="C79" s="3" t="str">
        <f>"39456"</f>
        <v>39456</v>
      </c>
      <c r="D79" s="3" t="s">
        <v>372</v>
      </c>
      <c r="E79" s="3">
        <v>20332711157</v>
      </c>
      <c r="F79" s="3" t="s">
        <v>373</v>
      </c>
      <c r="G79" s="3" t="s">
        <v>374</v>
      </c>
      <c r="H79" s="3" t="s">
        <v>112</v>
      </c>
      <c r="I79" s="3" t="s">
        <v>263</v>
      </c>
      <c r="J79" s="3" t="s">
        <v>375</v>
      </c>
      <c r="K79" s="3" t="s">
        <v>265</v>
      </c>
      <c r="L79" s="3" t="s">
        <v>266</v>
      </c>
      <c r="M79" s="3" t="s">
        <v>267</v>
      </c>
      <c r="N79" s="4">
        <v>43219</v>
      </c>
      <c r="O79" s="3" t="s">
        <v>26</v>
      </c>
      <c r="P79" s="3" t="s">
        <v>313</v>
      </c>
    </row>
    <row r="80" spans="1:16" ht="27.75">
      <c r="A80" s="3">
        <v>74</v>
      </c>
      <c r="B80" s="3" t="str">
        <f>"201900213134"</f>
        <v>201900213134</v>
      </c>
      <c r="C80" s="3" t="str">
        <f>"125535"</f>
        <v>125535</v>
      </c>
      <c r="D80" s="3" t="s">
        <v>376</v>
      </c>
      <c r="E80" s="3">
        <v>20600427734</v>
      </c>
      <c r="F80" s="3" t="s">
        <v>18</v>
      </c>
      <c r="G80" s="3" t="s">
        <v>228</v>
      </c>
      <c r="H80" s="3" t="s">
        <v>377</v>
      </c>
      <c r="I80" s="3" t="s">
        <v>200</v>
      </c>
      <c r="J80" s="3" t="s">
        <v>378</v>
      </c>
      <c r="K80" s="3" t="s">
        <v>61</v>
      </c>
      <c r="L80" s="3" t="s">
        <v>61</v>
      </c>
      <c r="M80" s="3" t="s">
        <v>88</v>
      </c>
      <c r="N80" s="4">
        <v>43837</v>
      </c>
      <c r="O80" s="4">
        <v>45490</v>
      </c>
      <c r="P80" s="3" t="s">
        <v>221</v>
      </c>
    </row>
    <row r="81" spans="1:16" ht="42">
      <c r="A81" s="3">
        <v>75</v>
      </c>
      <c r="B81" s="3" t="str">
        <f>"201600046319"</f>
        <v>201600046319</v>
      </c>
      <c r="C81" s="3" t="str">
        <f>"33781"</f>
        <v>33781</v>
      </c>
      <c r="D81" s="3" t="s">
        <v>379</v>
      </c>
      <c r="E81" s="3">
        <v>20100128218</v>
      </c>
      <c r="F81" s="3" t="s">
        <v>156</v>
      </c>
      <c r="G81" s="3" t="s">
        <v>74</v>
      </c>
      <c r="H81" s="3" t="s">
        <v>85</v>
      </c>
      <c r="I81" s="3" t="s">
        <v>153</v>
      </c>
      <c r="J81" s="3" t="s">
        <v>22</v>
      </c>
      <c r="K81" s="3" t="s">
        <v>23</v>
      </c>
      <c r="L81" s="3" t="s">
        <v>24</v>
      </c>
      <c r="M81" s="3" t="s">
        <v>25</v>
      </c>
      <c r="N81" s="3" t="s">
        <v>180</v>
      </c>
      <c r="O81" s="3" t="s">
        <v>26</v>
      </c>
      <c r="P81" s="3" t="s">
        <v>380</v>
      </c>
    </row>
    <row r="82" spans="1:16" ht="42">
      <c r="A82" s="3">
        <v>76</v>
      </c>
      <c r="B82" s="3" t="str">
        <f>"201900188038"</f>
        <v>201900188038</v>
      </c>
      <c r="C82" s="3" t="str">
        <f>"112566"</f>
        <v>112566</v>
      </c>
      <c r="D82" s="3" t="s">
        <v>381</v>
      </c>
      <c r="E82" s="3">
        <v>20554545743</v>
      </c>
      <c r="F82" s="3" t="s">
        <v>218</v>
      </c>
      <c r="G82" s="3" t="s">
        <v>382</v>
      </c>
      <c r="H82" s="3" t="s">
        <v>285</v>
      </c>
      <c r="I82" s="3" t="s">
        <v>303</v>
      </c>
      <c r="J82" s="3" t="s">
        <v>287</v>
      </c>
      <c r="K82" s="3" t="s">
        <v>288</v>
      </c>
      <c r="L82" s="3" t="s">
        <v>289</v>
      </c>
      <c r="M82" s="3" t="s">
        <v>289</v>
      </c>
      <c r="N82" s="4">
        <v>43783</v>
      </c>
      <c r="O82" s="4">
        <v>44778</v>
      </c>
      <c r="P82" s="3" t="s">
        <v>305</v>
      </c>
    </row>
    <row r="83" spans="1:16" ht="42">
      <c r="A83" s="3">
        <v>77</v>
      </c>
      <c r="B83" s="3" t="str">
        <f>"201800200483"</f>
        <v>201800200483</v>
      </c>
      <c r="C83" s="3" t="str">
        <f>"119823"</f>
        <v>119823</v>
      </c>
      <c r="D83" s="3" t="s">
        <v>383</v>
      </c>
      <c r="E83" s="3">
        <v>20513251506</v>
      </c>
      <c r="F83" s="3" t="s">
        <v>384</v>
      </c>
      <c r="G83" s="3" t="s">
        <v>385</v>
      </c>
      <c r="H83" s="3" t="s">
        <v>112</v>
      </c>
      <c r="I83" s="3" t="s">
        <v>263</v>
      </c>
      <c r="J83" s="3" t="s">
        <v>282</v>
      </c>
      <c r="K83" s="3" t="s">
        <v>265</v>
      </c>
      <c r="L83" s="3" t="s">
        <v>266</v>
      </c>
      <c r="M83" s="3" t="s">
        <v>267</v>
      </c>
      <c r="N83" s="4">
        <v>43452</v>
      </c>
      <c r="O83" s="4">
        <v>45264</v>
      </c>
      <c r="P83" s="3" t="s">
        <v>313</v>
      </c>
    </row>
    <row r="84" spans="1:16" ht="42">
      <c r="A84" s="3">
        <v>78</v>
      </c>
      <c r="B84" s="3" t="str">
        <f>"202000018852"</f>
        <v>202000018852</v>
      </c>
      <c r="C84" s="3" t="str">
        <f>"125537"</f>
        <v>125537</v>
      </c>
      <c r="D84" s="3" t="s">
        <v>386</v>
      </c>
      <c r="E84" s="3">
        <v>20600427734</v>
      </c>
      <c r="F84" s="3" t="s">
        <v>387</v>
      </c>
      <c r="G84" s="3" t="s">
        <v>388</v>
      </c>
      <c r="H84" s="3"/>
      <c r="I84" s="3"/>
      <c r="J84" s="3" t="s">
        <v>389</v>
      </c>
      <c r="K84" s="3" t="s">
        <v>213</v>
      </c>
      <c r="L84" s="3" t="s">
        <v>214</v>
      </c>
      <c r="M84" s="3" t="s">
        <v>215</v>
      </c>
      <c r="N84" s="4">
        <v>43868</v>
      </c>
      <c r="O84" s="4">
        <v>44465</v>
      </c>
      <c r="P84" s="3" t="s">
        <v>343</v>
      </c>
    </row>
    <row r="85" spans="1:16" ht="42">
      <c r="A85" s="3">
        <v>79</v>
      </c>
      <c r="B85" s="3" t="str">
        <f>"201800171573"</f>
        <v>201800171573</v>
      </c>
      <c r="C85" s="3" t="str">
        <f>"138924"</f>
        <v>138924</v>
      </c>
      <c r="D85" s="3" t="s">
        <v>390</v>
      </c>
      <c r="E85" s="3">
        <v>20565643496</v>
      </c>
      <c r="F85" s="3" t="s">
        <v>209</v>
      </c>
      <c r="G85" s="3" t="s">
        <v>391</v>
      </c>
      <c r="H85" s="3" t="s">
        <v>20</v>
      </c>
      <c r="I85" s="3" t="s">
        <v>200</v>
      </c>
      <c r="J85" s="3" t="s">
        <v>392</v>
      </c>
      <c r="K85" s="3" t="s">
        <v>61</v>
      </c>
      <c r="L85" s="3" t="s">
        <v>61</v>
      </c>
      <c r="M85" s="3" t="s">
        <v>88</v>
      </c>
      <c r="N85" s="4">
        <v>43391</v>
      </c>
      <c r="O85" s="4">
        <v>45212</v>
      </c>
      <c r="P85" s="3" t="s">
        <v>221</v>
      </c>
    </row>
    <row r="86" spans="1:16" ht="27.75">
      <c r="A86" s="3">
        <v>80</v>
      </c>
      <c r="B86" s="3" t="str">
        <f>"202000056333"</f>
        <v>202000056333</v>
      </c>
      <c r="C86" s="3" t="str">
        <f>"136367"</f>
        <v>136367</v>
      </c>
      <c r="D86" s="3" t="s">
        <v>393</v>
      </c>
      <c r="E86" s="3">
        <v>20603111304</v>
      </c>
      <c r="F86" s="3" t="s">
        <v>394</v>
      </c>
      <c r="G86" s="3" t="s">
        <v>395</v>
      </c>
      <c r="H86" s="3" t="s">
        <v>20</v>
      </c>
      <c r="I86" s="3" t="s">
        <v>200</v>
      </c>
      <c r="J86" s="3" t="s">
        <v>396</v>
      </c>
      <c r="K86" s="3" t="s">
        <v>43</v>
      </c>
      <c r="L86" s="3" t="s">
        <v>43</v>
      </c>
      <c r="M86" s="3" t="s">
        <v>397</v>
      </c>
      <c r="N86" s="4">
        <v>43994</v>
      </c>
      <c r="O86" s="3" t="s">
        <v>26</v>
      </c>
      <c r="P86" s="3" t="s">
        <v>398</v>
      </c>
    </row>
    <row r="87" spans="1:16" ht="42">
      <c r="A87" s="3">
        <v>81</v>
      </c>
      <c r="B87" s="3" t="str">
        <f>"201800112415"</f>
        <v>201800112415</v>
      </c>
      <c r="C87" s="3" t="str">
        <f>"105612"</f>
        <v>105612</v>
      </c>
      <c r="D87" s="3" t="s">
        <v>399</v>
      </c>
      <c r="E87" s="3">
        <v>20553167672</v>
      </c>
      <c r="F87" s="3" t="s">
        <v>159</v>
      </c>
      <c r="G87" s="3" t="s">
        <v>111</v>
      </c>
      <c r="H87" s="3" t="s">
        <v>20</v>
      </c>
      <c r="I87" s="3" t="s">
        <v>66</v>
      </c>
      <c r="J87" s="3" t="s">
        <v>67</v>
      </c>
      <c r="K87" s="3" t="s">
        <v>68</v>
      </c>
      <c r="L87" s="3" t="s">
        <v>69</v>
      </c>
      <c r="M87" s="3" t="s">
        <v>70</v>
      </c>
      <c r="N87" s="4">
        <v>43294</v>
      </c>
      <c r="O87" s="4">
        <v>45125</v>
      </c>
      <c r="P87" s="3" t="s">
        <v>400</v>
      </c>
    </row>
    <row r="88" spans="1:16" ht="55.5">
      <c r="A88" s="3">
        <v>82</v>
      </c>
      <c r="B88" s="3" t="str">
        <f>"201900188032"</f>
        <v>201900188032</v>
      </c>
      <c r="C88" s="3" t="str">
        <f>"122587"</f>
        <v>122587</v>
      </c>
      <c r="D88" s="3" t="s">
        <v>401</v>
      </c>
      <c r="E88" s="3">
        <v>20601147450</v>
      </c>
      <c r="F88" s="3" t="s">
        <v>125</v>
      </c>
      <c r="G88" s="3" t="s">
        <v>402</v>
      </c>
      <c r="H88" s="3" t="s">
        <v>20</v>
      </c>
      <c r="I88" s="3" t="s">
        <v>200</v>
      </c>
      <c r="J88" s="3" t="s">
        <v>220</v>
      </c>
      <c r="K88" s="3" t="s">
        <v>61</v>
      </c>
      <c r="L88" s="3" t="s">
        <v>61</v>
      </c>
      <c r="M88" s="3" t="s">
        <v>88</v>
      </c>
      <c r="N88" s="4">
        <v>43817</v>
      </c>
      <c r="O88" s="4">
        <v>45004</v>
      </c>
      <c r="P88" s="3" t="s">
        <v>403</v>
      </c>
    </row>
    <row r="89" spans="1:16" ht="27.75">
      <c r="A89" s="3">
        <v>83</v>
      </c>
      <c r="B89" s="3" t="str">
        <f>"201900203425"</f>
        <v>201900203425</v>
      </c>
      <c r="C89" s="3" t="str">
        <f>"33817"</f>
        <v>33817</v>
      </c>
      <c r="D89" s="3" t="s">
        <v>404</v>
      </c>
      <c r="E89" s="3">
        <v>20503840121</v>
      </c>
      <c r="F89" s="3" t="s">
        <v>405</v>
      </c>
      <c r="G89" s="3" t="s">
        <v>406</v>
      </c>
      <c r="H89" s="3" t="s">
        <v>102</v>
      </c>
      <c r="I89" s="3" t="s">
        <v>113</v>
      </c>
      <c r="J89" s="3" t="s">
        <v>407</v>
      </c>
      <c r="K89" s="3" t="s">
        <v>115</v>
      </c>
      <c r="L89" s="3" t="s">
        <v>115</v>
      </c>
      <c r="M89" s="3" t="s">
        <v>116</v>
      </c>
      <c r="N89" s="4">
        <v>43812</v>
      </c>
      <c r="O89" s="3" t="s">
        <v>26</v>
      </c>
      <c r="P89" s="3" t="s">
        <v>134</v>
      </c>
    </row>
    <row r="90" spans="1:16" ht="27.75">
      <c r="A90" s="3">
        <v>84</v>
      </c>
      <c r="B90" s="3" t="str">
        <f>"201000001575"</f>
        <v>201000001575</v>
      </c>
      <c r="C90" s="3" t="str">
        <f>"33786"</f>
        <v>33786</v>
      </c>
      <c r="D90" s="3">
        <v>1217985</v>
      </c>
      <c r="E90" s="3">
        <v>20100128218</v>
      </c>
      <c r="F90" s="3" t="s">
        <v>408</v>
      </c>
      <c r="G90" s="3" t="s">
        <v>74</v>
      </c>
      <c r="H90" s="3" t="s">
        <v>409</v>
      </c>
      <c r="I90" s="3" t="s">
        <v>113</v>
      </c>
      <c r="J90" s="3" t="s">
        <v>113</v>
      </c>
      <c r="K90" s="3" t="s">
        <v>115</v>
      </c>
      <c r="L90" s="3" t="s">
        <v>115</v>
      </c>
      <c r="M90" s="3" t="s">
        <v>116</v>
      </c>
      <c r="N90" s="4">
        <v>35550</v>
      </c>
      <c r="O90" s="3" t="s">
        <v>26</v>
      </c>
      <c r="P90" s="3" t="s">
        <v>410</v>
      </c>
    </row>
    <row r="91" spans="1:16" ht="55.5">
      <c r="A91" s="3">
        <v>85</v>
      </c>
      <c r="B91" s="3" t="str">
        <f>"202000112556"</f>
        <v>202000112556</v>
      </c>
      <c r="C91" s="3" t="str">
        <f>"112541"</f>
        <v>112541</v>
      </c>
      <c r="D91" s="3" t="s">
        <v>411</v>
      </c>
      <c r="E91" s="3">
        <v>20554545743</v>
      </c>
      <c r="F91" s="3" t="s">
        <v>218</v>
      </c>
      <c r="G91" s="3" t="s">
        <v>382</v>
      </c>
      <c r="H91" s="3" t="s">
        <v>130</v>
      </c>
      <c r="I91" s="3" t="s">
        <v>225</v>
      </c>
      <c r="J91" s="3" t="s">
        <v>226</v>
      </c>
      <c r="K91" s="3" t="s">
        <v>52</v>
      </c>
      <c r="L91" s="3" t="s">
        <v>53</v>
      </c>
      <c r="M91" s="3" t="s">
        <v>54</v>
      </c>
      <c r="N91" s="4">
        <v>44099</v>
      </c>
      <c r="O91" s="4">
        <v>45509</v>
      </c>
      <c r="P91" s="3" t="s">
        <v>55</v>
      </c>
    </row>
    <row r="92" spans="1:16" ht="42">
      <c r="A92" s="3">
        <v>86</v>
      </c>
      <c r="B92" s="3" t="str">
        <f>"201900194469"</f>
        <v>201900194469</v>
      </c>
      <c r="C92" s="3" t="str">
        <f>"119824"</f>
        <v>119824</v>
      </c>
      <c r="D92" s="3" t="s">
        <v>412</v>
      </c>
      <c r="E92" s="3">
        <v>20513251506</v>
      </c>
      <c r="F92" s="3" t="s">
        <v>120</v>
      </c>
      <c r="G92" s="3" t="s">
        <v>385</v>
      </c>
      <c r="H92" s="3" t="s">
        <v>20</v>
      </c>
      <c r="I92" s="3" t="s">
        <v>66</v>
      </c>
      <c r="J92" s="3" t="s">
        <v>67</v>
      </c>
      <c r="K92" s="3" t="s">
        <v>68</v>
      </c>
      <c r="L92" s="3" t="s">
        <v>69</v>
      </c>
      <c r="M92" s="3" t="s">
        <v>70</v>
      </c>
      <c r="N92" s="4">
        <v>43802</v>
      </c>
      <c r="O92" s="4">
        <v>45264</v>
      </c>
      <c r="P92" s="3" t="s">
        <v>413</v>
      </c>
    </row>
    <row r="93" spans="1:16" ht="42">
      <c r="A93" s="3">
        <v>87</v>
      </c>
      <c r="B93" s="3" t="str">
        <f>"201900149502"</f>
        <v>201900149502</v>
      </c>
      <c r="C93" s="3" t="str">
        <f>"144946"</f>
        <v>144946</v>
      </c>
      <c r="D93" s="3" t="s">
        <v>414</v>
      </c>
      <c r="E93" s="3">
        <v>20601839041</v>
      </c>
      <c r="F93" s="3" t="s">
        <v>415</v>
      </c>
      <c r="G93" s="3" t="s">
        <v>416</v>
      </c>
      <c r="H93" s="3" t="s">
        <v>417</v>
      </c>
      <c r="I93" s="3" t="s">
        <v>418</v>
      </c>
      <c r="J93" s="3" t="s">
        <v>419</v>
      </c>
      <c r="K93" s="3" t="s">
        <v>43</v>
      </c>
      <c r="L93" s="3" t="s">
        <v>43</v>
      </c>
      <c r="M93" s="3" t="s">
        <v>196</v>
      </c>
      <c r="N93" s="4">
        <v>43727</v>
      </c>
      <c r="O93" s="4">
        <v>44821</v>
      </c>
      <c r="P93" s="3" t="s">
        <v>221</v>
      </c>
    </row>
    <row r="94" spans="1:16" ht="27.75">
      <c r="A94" s="3">
        <v>88</v>
      </c>
      <c r="B94" s="3" t="str">
        <f>"202000018848"</f>
        <v>202000018848</v>
      </c>
      <c r="C94" s="3" t="str">
        <f>"125527"</f>
        <v>125527</v>
      </c>
      <c r="D94" s="3" t="s">
        <v>420</v>
      </c>
      <c r="E94" s="3">
        <v>20600427734</v>
      </c>
      <c r="F94" s="3" t="s">
        <v>421</v>
      </c>
      <c r="G94" s="3" t="s">
        <v>224</v>
      </c>
      <c r="H94" s="3" t="s">
        <v>20</v>
      </c>
      <c r="I94" s="3" t="s">
        <v>138</v>
      </c>
      <c r="J94" s="3" t="s">
        <v>422</v>
      </c>
      <c r="K94" s="3" t="s">
        <v>140</v>
      </c>
      <c r="L94" s="3" t="s">
        <v>141</v>
      </c>
      <c r="M94" s="3" t="s">
        <v>142</v>
      </c>
      <c r="N94" s="4">
        <v>43895</v>
      </c>
      <c r="O94" s="4">
        <v>45491</v>
      </c>
      <c r="P94" s="3" t="s">
        <v>207</v>
      </c>
    </row>
    <row r="95" spans="1:16" ht="42">
      <c r="A95" s="3">
        <v>89</v>
      </c>
      <c r="B95" s="3" t="str">
        <f>"201800062955"</f>
        <v>201800062955</v>
      </c>
      <c r="C95" s="3" t="str">
        <f>"33773"</f>
        <v>33773</v>
      </c>
      <c r="D95" s="3" t="s">
        <v>423</v>
      </c>
      <c r="E95" s="3">
        <v>20259033072</v>
      </c>
      <c r="F95" s="3" t="s">
        <v>424</v>
      </c>
      <c r="G95" s="3" t="s">
        <v>425</v>
      </c>
      <c r="H95" s="3" t="s">
        <v>20</v>
      </c>
      <c r="I95" s="3" t="s">
        <v>138</v>
      </c>
      <c r="J95" s="3" t="s">
        <v>426</v>
      </c>
      <c r="K95" s="3" t="s">
        <v>43</v>
      </c>
      <c r="L95" s="3" t="s">
        <v>43</v>
      </c>
      <c r="M95" s="3" t="s">
        <v>397</v>
      </c>
      <c r="N95" s="4">
        <v>43210</v>
      </c>
      <c r="O95" s="4">
        <v>44347</v>
      </c>
      <c r="P95" s="3" t="s">
        <v>260</v>
      </c>
    </row>
    <row r="96" spans="1:16" ht="27.75">
      <c r="A96" s="3">
        <v>90</v>
      </c>
      <c r="B96" s="3" t="str">
        <f>"201600136731"</f>
        <v>201600136731</v>
      </c>
      <c r="C96" s="3" t="str">
        <f>"104289"</f>
        <v>104289</v>
      </c>
      <c r="D96" s="3" t="s">
        <v>427</v>
      </c>
      <c r="E96" s="3">
        <v>20262463771</v>
      </c>
      <c r="F96" s="3" t="s">
        <v>136</v>
      </c>
      <c r="G96" s="3" t="s">
        <v>137</v>
      </c>
      <c r="H96" s="3" t="s">
        <v>428</v>
      </c>
      <c r="I96" s="3" t="s">
        <v>113</v>
      </c>
      <c r="J96" s="3" t="s">
        <v>407</v>
      </c>
      <c r="K96" s="3" t="s">
        <v>115</v>
      </c>
      <c r="L96" s="3" t="s">
        <v>115</v>
      </c>
      <c r="M96" s="3" t="s">
        <v>116</v>
      </c>
      <c r="N96" s="4">
        <v>42677</v>
      </c>
      <c r="O96" s="4">
        <v>44429</v>
      </c>
      <c r="P96" s="3" t="s">
        <v>248</v>
      </c>
    </row>
    <row r="97" spans="1:16" ht="42">
      <c r="A97" s="3">
        <v>91</v>
      </c>
      <c r="B97" s="3" t="str">
        <f>"201900134660"</f>
        <v>201900134660</v>
      </c>
      <c r="C97" s="3" t="str">
        <f>"145986"</f>
        <v>145986</v>
      </c>
      <c r="D97" s="3" t="s">
        <v>429</v>
      </c>
      <c r="E97" s="3">
        <v>20454526628</v>
      </c>
      <c r="F97" s="3" t="s">
        <v>430</v>
      </c>
      <c r="G97" s="3" t="s">
        <v>431</v>
      </c>
      <c r="H97" s="3" t="s">
        <v>20</v>
      </c>
      <c r="I97" s="3" t="s">
        <v>200</v>
      </c>
      <c r="J97" s="3" t="s">
        <v>432</v>
      </c>
      <c r="K97" s="3" t="s">
        <v>61</v>
      </c>
      <c r="L97" s="3" t="s">
        <v>61</v>
      </c>
      <c r="M97" s="3" t="s">
        <v>88</v>
      </c>
      <c r="N97" s="4">
        <v>43699</v>
      </c>
      <c r="O97" s="4">
        <v>45159</v>
      </c>
      <c r="P97" s="3" t="s">
        <v>123</v>
      </c>
    </row>
    <row r="98" spans="1:16" ht="42">
      <c r="A98" s="3">
        <v>92</v>
      </c>
      <c r="B98" s="3" t="str">
        <f>"201800112489"</f>
        <v>201800112489</v>
      </c>
      <c r="C98" s="3" t="str">
        <f>"105922"</f>
        <v>105922</v>
      </c>
      <c r="D98" s="3" t="s">
        <v>433</v>
      </c>
      <c r="E98" s="3">
        <v>20553167672</v>
      </c>
      <c r="F98" s="3" t="s">
        <v>434</v>
      </c>
      <c r="G98" s="3" t="s">
        <v>435</v>
      </c>
      <c r="H98" s="3" t="s">
        <v>112</v>
      </c>
      <c r="I98" s="3" t="s">
        <v>41</v>
      </c>
      <c r="J98" s="3" t="s">
        <v>436</v>
      </c>
      <c r="K98" s="3" t="s">
        <v>43</v>
      </c>
      <c r="L98" s="3" t="s">
        <v>44</v>
      </c>
      <c r="M98" s="3" t="s">
        <v>45</v>
      </c>
      <c r="N98" s="4">
        <v>43294</v>
      </c>
      <c r="O98" s="4">
        <v>45125</v>
      </c>
      <c r="P98" s="3" t="s">
        <v>253</v>
      </c>
    </row>
    <row r="99" spans="1:16" ht="27.75">
      <c r="A99" s="3">
        <v>93</v>
      </c>
      <c r="B99" s="3" t="str">
        <f>"202000005888"</f>
        <v>202000005888</v>
      </c>
      <c r="C99" s="3" t="str">
        <f>"138605"</f>
        <v>138605</v>
      </c>
      <c r="D99" s="3" t="s">
        <v>437</v>
      </c>
      <c r="E99" s="3">
        <v>20603111304</v>
      </c>
      <c r="F99" s="3" t="s">
        <v>438</v>
      </c>
      <c r="G99" s="3" t="s">
        <v>439</v>
      </c>
      <c r="H99" s="3" t="s">
        <v>341</v>
      </c>
      <c r="I99" s="3" t="s">
        <v>211</v>
      </c>
      <c r="J99" s="3" t="s">
        <v>440</v>
      </c>
      <c r="K99" s="3" t="s">
        <v>213</v>
      </c>
      <c r="L99" s="3" t="s">
        <v>214</v>
      </c>
      <c r="M99" s="3" t="s">
        <v>215</v>
      </c>
      <c r="N99" s="4">
        <v>43845</v>
      </c>
      <c r="O99" s="3" t="s">
        <v>26</v>
      </c>
      <c r="P99" s="3" t="s">
        <v>123</v>
      </c>
    </row>
    <row r="100" spans="1:16" ht="69.75">
      <c r="A100" s="3">
        <v>94</v>
      </c>
      <c r="B100" s="3" t="str">
        <f>"201900213091"</f>
        <v>201900213091</v>
      </c>
      <c r="C100" s="3" t="str">
        <f>"125530"</f>
        <v>125530</v>
      </c>
      <c r="D100" s="3" t="s">
        <v>441</v>
      </c>
      <c r="E100" s="3">
        <v>20600427734</v>
      </c>
      <c r="F100" s="3" t="s">
        <v>442</v>
      </c>
      <c r="G100" s="3" t="s">
        <v>443</v>
      </c>
      <c r="H100" s="3" t="s">
        <v>377</v>
      </c>
      <c r="I100" s="3" t="s">
        <v>444</v>
      </c>
      <c r="J100" s="3" t="s">
        <v>236</v>
      </c>
      <c r="K100" s="3" t="s">
        <v>43</v>
      </c>
      <c r="L100" s="3" t="s">
        <v>43</v>
      </c>
      <c r="M100" s="3" t="s">
        <v>196</v>
      </c>
      <c r="N100" s="4">
        <v>43825</v>
      </c>
      <c r="O100" s="4">
        <v>45491</v>
      </c>
      <c r="P100" s="3" t="s">
        <v>445</v>
      </c>
    </row>
    <row r="101" spans="1:16" ht="13.5">
      <c r="A101" s="3">
        <v>95</v>
      </c>
      <c r="B101" s="3" t="str">
        <f>"201800066832"</f>
        <v>201800066832</v>
      </c>
      <c r="C101" s="3" t="str">
        <f>"39512"</f>
        <v>39512</v>
      </c>
      <c r="D101" s="3" t="s">
        <v>446</v>
      </c>
      <c r="E101" s="3">
        <v>20332711157</v>
      </c>
      <c r="F101" s="3" t="s">
        <v>366</v>
      </c>
      <c r="G101" s="3" t="s">
        <v>447</v>
      </c>
      <c r="H101" s="3" t="s">
        <v>448</v>
      </c>
      <c r="I101" s="3" t="s">
        <v>113</v>
      </c>
      <c r="J101" s="3" t="s">
        <v>375</v>
      </c>
      <c r="K101" s="3" t="s">
        <v>43</v>
      </c>
      <c r="L101" s="3" t="s">
        <v>43</v>
      </c>
      <c r="M101" s="3" t="s">
        <v>449</v>
      </c>
      <c r="N101" s="4">
        <v>43216</v>
      </c>
      <c r="O101" s="3" t="s">
        <v>26</v>
      </c>
      <c r="P101" s="3" t="s">
        <v>108</v>
      </c>
    </row>
    <row r="102" spans="1:16" ht="42">
      <c r="A102" s="3">
        <v>96</v>
      </c>
      <c r="B102" s="3" t="str">
        <f>"201800112485"</f>
        <v>201800112485</v>
      </c>
      <c r="C102" s="3" t="str">
        <f>"105609"</f>
        <v>105609</v>
      </c>
      <c r="D102" s="3" t="s">
        <v>450</v>
      </c>
      <c r="E102" s="3">
        <v>20553167672</v>
      </c>
      <c r="F102" s="3" t="s">
        <v>159</v>
      </c>
      <c r="G102" s="3" t="s">
        <v>111</v>
      </c>
      <c r="H102" s="3" t="s">
        <v>20</v>
      </c>
      <c r="I102" s="3" t="s">
        <v>451</v>
      </c>
      <c r="J102" s="3" t="s">
        <v>127</v>
      </c>
      <c r="K102" s="3" t="s">
        <v>23</v>
      </c>
      <c r="L102" s="3" t="s">
        <v>24</v>
      </c>
      <c r="M102" s="3" t="s">
        <v>25</v>
      </c>
      <c r="N102" s="4">
        <v>43292</v>
      </c>
      <c r="O102" s="4">
        <v>45125</v>
      </c>
      <c r="P102" s="3" t="s">
        <v>350</v>
      </c>
    </row>
    <row r="103" spans="1:16" ht="27.75">
      <c r="A103" s="3">
        <v>97</v>
      </c>
      <c r="B103" s="3" t="str">
        <f>"201000001577"</f>
        <v>201000001577</v>
      </c>
      <c r="C103" s="3" t="str">
        <f>"33788"</f>
        <v>33788</v>
      </c>
      <c r="D103" s="3">
        <v>1122684</v>
      </c>
      <c r="E103" s="3">
        <v>20100128218</v>
      </c>
      <c r="F103" s="3" t="s">
        <v>452</v>
      </c>
      <c r="G103" s="3" t="s">
        <v>74</v>
      </c>
      <c r="H103" s="3" t="s">
        <v>453</v>
      </c>
      <c r="I103" s="3" t="s">
        <v>454</v>
      </c>
      <c r="J103" s="3" t="s">
        <v>455</v>
      </c>
      <c r="K103" s="3" t="s">
        <v>456</v>
      </c>
      <c r="L103" s="3" t="s">
        <v>457</v>
      </c>
      <c r="M103" s="3" t="s">
        <v>458</v>
      </c>
      <c r="N103" s="4">
        <v>35550</v>
      </c>
      <c r="O103" s="3" t="s">
        <v>26</v>
      </c>
      <c r="P103" s="3" t="s">
        <v>459</v>
      </c>
    </row>
    <row r="104" spans="1:16" ht="27.75">
      <c r="A104" s="3">
        <v>98</v>
      </c>
      <c r="B104" s="3" t="str">
        <f>"201000001576"</f>
        <v>201000001576</v>
      </c>
      <c r="C104" s="3" t="str">
        <f>"33787"</f>
        <v>33787</v>
      </c>
      <c r="D104" s="3">
        <v>1217990</v>
      </c>
      <c r="E104" s="3">
        <v>20100128218</v>
      </c>
      <c r="F104" s="3" t="s">
        <v>460</v>
      </c>
      <c r="G104" s="3" t="s">
        <v>74</v>
      </c>
      <c r="H104" s="3" t="s">
        <v>409</v>
      </c>
      <c r="I104" s="3" t="s">
        <v>103</v>
      </c>
      <c r="J104" s="3" t="s">
        <v>103</v>
      </c>
      <c r="K104" s="3" t="s">
        <v>105</v>
      </c>
      <c r="L104" s="3" t="s">
        <v>106</v>
      </c>
      <c r="M104" s="3" t="s">
        <v>107</v>
      </c>
      <c r="N104" s="4">
        <v>35550</v>
      </c>
      <c r="O104" s="3" t="s">
        <v>26</v>
      </c>
      <c r="P104" s="3" t="s">
        <v>461</v>
      </c>
    </row>
    <row r="105" spans="1:16" ht="27.75">
      <c r="A105" s="3">
        <v>99</v>
      </c>
      <c r="B105" s="3" t="str">
        <f>"202000056087"</f>
        <v>202000056087</v>
      </c>
      <c r="C105" s="3" t="str">
        <f>"125528"</f>
        <v>125528</v>
      </c>
      <c r="D105" s="3" t="s">
        <v>462</v>
      </c>
      <c r="E105" s="3">
        <v>20600427734</v>
      </c>
      <c r="F105" s="3" t="s">
        <v>223</v>
      </c>
      <c r="G105" s="3" t="s">
        <v>224</v>
      </c>
      <c r="H105" s="3" t="s">
        <v>130</v>
      </c>
      <c r="I105" s="3" t="s">
        <v>463</v>
      </c>
      <c r="J105" s="3" t="s">
        <v>132</v>
      </c>
      <c r="K105" s="3" t="s">
        <v>52</v>
      </c>
      <c r="L105" s="3" t="s">
        <v>52</v>
      </c>
      <c r="M105" s="3" t="s">
        <v>52</v>
      </c>
      <c r="N105" s="4">
        <v>43964</v>
      </c>
      <c r="O105" s="4">
        <v>45551</v>
      </c>
      <c r="P105" s="3" t="s">
        <v>231</v>
      </c>
    </row>
    <row r="106" spans="1:16" ht="55.5">
      <c r="A106" s="3">
        <v>100</v>
      </c>
      <c r="B106" s="3" t="str">
        <f>"202000145469"</f>
        <v>202000145469</v>
      </c>
      <c r="C106" s="3" t="str">
        <f>"151071"</f>
        <v>151071</v>
      </c>
      <c r="D106" s="3" t="s">
        <v>464</v>
      </c>
      <c r="E106" s="3">
        <v>20506151547</v>
      </c>
      <c r="F106" s="3" t="s">
        <v>95</v>
      </c>
      <c r="G106" s="3" t="s">
        <v>465</v>
      </c>
      <c r="H106" s="3" t="s">
        <v>466</v>
      </c>
      <c r="I106" s="3" t="s">
        <v>263</v>
      </c>
      <c r="J106" s="3" t="s">
        <v>467</v>
      </c>
      <c r="K106" s="3" t="s">
        <v>265</v>
      </c>
      <c r="L106" s="3" t="s">
        <v>266</v>
      </c>
      <c r="M106" s="3" t="s">
        <v>267</v>
      </c>
      <c r="N106" s="4">
        <v>44132</v>
      </c>
      <c r="O106" s="4">
        <v>44196</v>
      </c>
      <c r="P106" s="3" t="s">
        <v>89</v>
      </c>
    </row>
    <row r="107" spans="1:16" ht="42">
      <c r="A107" s="3">
        <v>101</v>
      </c>
      <c r="B107" s="3" t="str">
        <f>"201900188024"</f>
        <v>201900188024</v>
      </c>
      <c r="C107" s="3" t="str">
        <f>"112565"</f>
        <v>112565</v>
      </c>
      <c r="D107" s="3" t="s">
        <v>468</v>
      </c>
      <c r="E107" s="3">
        <v>20554545743</v>
      </c>
      <c r="F107" s="3" t="s">
        <v>469</v>
      </c>
      <c r="G107" s="3" t="s">
        <v>470</v>
      </c>
      <c r="H107" s="3" t="s">
        <v>246</v>
      </c>
      <c r="I107" s="3" t="s">
        <v>263</v>
      </c>
      <c r="J107" s="3" t="s">
        <v>282</v>
      </c>
      <c r="K107" s="3" t="s">
        <v>265</v>
      </c>
      <c r="L107" s="3" t="s">
        <v>266</v>
      </c>
      <c r="M107" s="3" t="s">
        <v>267</v>
      </c>
      <c r="N107" s="4">
        <v>43784</v>
      </c>
      <c r="O107" s="4">
        <v>44778</v>
      </c>
      <c r="P107" s="3" t="s">
        <v>350</v>
      </c>
    </row>
    <row r="108" spans="1:16" ht="27.75">
      <c r="A108" s="3">
        <v>102</v>
      </c>
      <c r="B108" s="3" t="str">
        <f>"201800152763"</f>
        <v>201800152763</v>
      </c>
      <c r="C108" s="3" t="str">
        <f>"138601"</f>
        <v>138601</v>
      </c>
      <c r="D108" s="3" t="s">
        <v>471</v>
      </c>
      <c r="E108" s="3">
        <v>20603111304</v>
      </c>
      <c r="F108" s="3" t="s">
        <v>438</v>
      </c>
      <c r="G108" s="3" t="s">
        <v>472</v>
      </c>
      <c r="H108" s="3" t="s">
        <v>20</v>
      </c>
      <c r="I108" s="3" t="s">
        <v>229</v>
      </c>
      <c r="J108" s="3" t="s">
        <v>473</v>
      </c>
      <c r="K108" s="3" t="s">
        <v>43</v>
      </c>
      <c r="L108" s="3" t="s">
        <v>44</v>
      </c>
      <c r="M108" s="3" t="s">
        <v>45</v>
      </c>
      <c r="N108" s="4">
        <v>43374</v>
      </c>
      <c r="O108" s="3" t="s">
        <v>26</v>
      </c>
      <c r="P108" s="3" t="s">
        <v>123</v>
      </c>
    </row>
    <row r="109" spans="1:16" ht="42">
      <c r="A109" s="3">
        <v>103</v>
      </c>
      <c r="B109" s="3" t="str">
        <f>"202000030866"</f>
        <v>202000030866</v>
      </c>
      <c r="C109" s="3" t="str">
        <f>"112542"</f>
        <v>112542</v>
      </c>
      <c r="D109" s="3" t="s">
        <v>474</v>
      </c>
      <c r="E109" s="3">
        <v>20554545743</v>
      </c>
      <c r="F109" s="3" t="s">
        <v>218</v>
      </c>
      <c r="G109" s="3" t="s">
        <v>382</v>
      </c>
      <c r="H109" s="3" t="s">
        <v>130</v>
      </c>
      <c r="I109" s="3" t="s">
        <v>463</v>
      </c>
      <c r="J109" s="3" t="s">
        <v>475</v>
      </c>
      <c r="K109" s="3" t="s">
        <v>52</v>
      </c>
      <c r="L109" s="3" t="s">
        <v>52</v>
      </c>
      <c r="M109" s="3" t="s">
        <v>52</v>
      </c>
      <c r="N109" s="4">
        <v>43888</v>
      </c>
      <c r="O109" s="4">
        <v>45509</v>
      </c>
      <c r="P109" s="3" t="s">
        <v>231</v>
      </c>
    </row>
    <row r="110" spans="1:16" ht="27.75">
      <c r="A110" s="3">
        <v>104</v>
      </c>
      <c r="B110" s="3" t="str">
        <f>"201900213160"</f>
        <v>201900213160</v>
      </c>
      <c r="C110" s="3" t="str">
        <f>"125539"</f>
        <v>125539</v>
      </c>
      <c r="D110" s="3" t="s">
        <v>476</v>
      </c>
      <c r="E110" s="3">
        <v>20600427734</v>
      </c>
      <c r="F110" s="3" t="s">
        <v>18</v>
      </c>
      <c r="G110" s="3" t="s">
        <v>388</v>
      </c>
      <c r="H110" s="3" t="s">
        <v>102</v>
      </c>
      <c r="I110" s="3" t="s">
        <v>113</v>
      </c>
      <c r="J110" s="3" t="s">
        <v>407</v>
      </c>
      <c r="K110" s="3" t="s">
        <v>115</v>
      </c>
      <c r="L110" s="3" t="s">
        <v>115</v>
      </c>
      <c r="M110" s="3" t="s">
        <v>116</v>
      </c>
      <c r="N110" s="4">
        <v>43900</v>
      </c>
      <c r="O110" s="4">
        <v>45553</v>
      </c>
      <c r="P110" s="3" t="s">
        <v>248</v>
      </c>
    </row>
    <row r="111" spans="1:16" ht="55.5">
      <c r="A111" s="3">
        <v>105</v>
      </c>
      <c r="B111" s="3" t="str">
        <f>"201700210269"</f>
        <v>201700210269</v>
      </c>
      <c r="C111" s="3" t="str">
        <f>"33780"</f>
        <v>33780</v>
      </c>
      <c r="D111" s="3" t="s">
        <v>477</v>
      </c>
      <c r="E111" s="3">
        <v>20100128218</v>
      </c>
      <c r="F111" s="3" t="s">
        <v>156</v>
      </c>
      <c r="G111" s="3" t="s">
        <v>478</v>
      </c>
      <c r="H111" s="3" t="s">
        <v>85</v>
      </c>
      <c r="I111" s="3" t="s">
        <v>66</v>
      </c>
      <c r="J111" s="3" t="s">
        <v>479</v>
      </c>
      <c r="K111" s="3" t="s">
        <v>68</v>
      </c>
      <c r="L111" s="3" t="s">
        <v>69</v>
      </c>
      <c r="M111" s="3" t="s">
        <v>70</v>
      </c>
      <c r="N111" s="4">
        <v>43082</v>
      </c>
      <c r="O111" s="3" t="s">
        <v>26</v>
      </c>
      <c r="P111" s="3" t="s">
        <v>93</v>
      </c>
    </row>
    <row r="112" spans="1:16" ht="83.25">
      <c r="A112" s="3">
        <v>106</v>
      </c>
      <c r="B112" s="3" t="str">
        <f>"201900198330"</f>
        <v>201900198330</v>
      </c>
      <c r="C112" s="3" t="str">
        <f>"33797"</f>
        <v>33797</v>
      </c>
      <c r="D112" s="3" t="s">
        <v>480</v>
      </c>
      <c r="E112" s="3">
        <v>20259829594</v>
      </c>
      <c r="F112" s="3" t="s">
        <v>39</v>
      </c>
      <c r="G112" s="3" t="s">
        <v>481</v>
      </c>
      <c r="H112" s="3" t="s">
        <v>482</v>
      </c>
      <c r="I112" s="3" t="s">
        <v>483</v>
      </c>
      <c r="J112" s="3" t="s">
        <v>484</v>
      </c>
      <c r="K112" s="3" t="s">
        <v>61</v>
      </c>
      <c r="L112" s="3" t="s">
        <v>61</v>
      </c>
      <c r="M112" s="3" t="s">
        <v>62</v>
      </c>
      <c r="N112" s="4">
        <v>43811</v>
      </c>
      <c r="O112" s="3" t="s">
        <v>26</v>
      </c>
      <c r="P112" s="3" t="s">
        <v>485</v>
      </c>
    </row>
    <row r="113" spans="1:16" ht="55.5">
      <c r="A113" s="3">
        <v>107</v>
      </c>
      <c r="B113" s="3" t="str">
        <f>"201800200530"</f>
        <v>201800200530</v>
      </c>
      <c r="C113" s="3" t="str">
        <f>"119825"</f>
        <v>119825</v>
      </c>
      <c r="D113" s="3" t="s">
        <v>486</v>
      </c>
      <c r="E113" s="3">
        <v>20513251506</v>
      </c>
      <c r="F113" s="3" t="s">
        <v>384</v>
      </c>
      <c r="G113" s="3" t="s">
        <v>363</v>
      </c>
      <c r="H113" s="3" t="s">
        <v>20</v>
      </c>
      <c r="I113" s="3" t="s">
        <v>185</v>
      </c>
      <c r="J113" s="3" t="s">
        <v>487</v>
      </c>
      <c r="K113" s="3" t="s">
        <v>61</v>
      </c>
      <c r="L113" s="3" t="s">
        <v>61</v>
      </c>
      <c r="M113" s="3" t="s">
        <v>88</v>
      </c>
      <c r="N113" s="4">
        <v>43445</v>
      </c>
      <c r="O113" s="4">
        <v>45264</v>
      </c>
      <c r="P113" s="3" t="s">
        <v>488</v>
      </c>
    </row>
    <row r="114" spans="1:16" ht="27.75">
      <c r="A114" s="3">
        <v>108</v>
      </c>
      <c r="B114" s="3" t="str">
        <f>"201500137982"</f>
        <v>201500137982</v>
      </c>
      <c r="C114" s="3" t="str">
        <f>"114037"</f>
        <v>114037</v>
      </c>
      <c r="D114" s="3" t="s">
        <v>489</v>
      </c>
      <c r="E114" s="3">
        <v>20100128218</v>
      </c>
      <c r="F114" s="3" t="s">
        <v>156</v>
      </c>
      <c r="G114" s="3" t="s">
        <v>490</v>
      </c>
      <c r="H114" s="3" t="s">
        <v>491</v>
      </c>
      <c r="I114" s="3" t="s">
        <v>492</v>
      </c>
      <c r="J114" s="3" t="s">
        <v>493</v>
      </c>
      <c r="K114" s="3" t="s">
        <v>34</v>
      </c>
      <c r="L114" s="3" t="s">
        <v>35</v>
      </c>
      <c r="M114" s="3" t="s">
        <v>36</v>
      </c>
      <c r="N114" s="4">
        <v>42333</v>
      </c>
      <c r="O114" s="4">
        <v>45379</v>
      </c>
      <c r="P114" s="3" t="s">
        <v>494</v>
      </c>
    </row>
    <row r="115" spans="1:16" ht="27.75">
      <c r="A115" s="3">
        <v>109</v>
      </c>
      <c r="B115" s="3" t="str">
        <f>"202000026744"</f>
        <v>202000026744</v>
      </c>
      <c r="C115" s="3" t="str">
        <f>"125533"</f>
        <v>125533</v>
      </c>
      <c r="D115" s="3" t="s">
        <v>495</v>
      </c>
      <c r="E115" s="3">
        <v>20600427734</v>
      </c>
      <c r="F115" s="3" t="s">
        <v>18</v>
      </c>
      <c r="G115" s="3" t="s">
        <v>370</v>
      </c>
      <c r="H115" s="3" t="s">
        <v>102</v>
      </c>
      <c r="I115" s="3" t="s">
        <v>103</v>
      </c>
      <c r="J115" s="3" t="s">
        <v>496</v>
      </c>
      <c r="K115" s="3" t="s">
        <v>105</v>
      </c>
      <c r="L115" s="3" t="s">
        <v>106</v>
      </c>
      <c r="M115" s="3" t="s">
        <v>107</v>
      </c>
      <c r="N115" s="4">
        <v>43884</v>
      </c>
      <c r="O115" s="4">
        <v>45491</v>
      </c>
      <c r="P115" s="3" t="s">
        <v>248</v>
      </c>
    </row>
    <row r="116" spans="1:16" ht="42">
      <c r="A116" s="3">
        <v>110</v>
      </c>
      <c r="B116" s="3" t="str">
        <f>"202000050312"</f>
        <v>202000050312</v>
      </c>
      <c r="C116" s="3" t="str">
        <f>"149546"</f>
        <v>149546</v>
      </c>
      <c r="D116" s="3" t="s">
        <v>497</v>
      </c>
      <c r="E116" s="3">
        <v>20513251506</v>
      </c>
      <c r="F116" s="3" t="s">
        <v>498</v>
      </c>
      <c r="G116" s="3" t="s">
        <v>499</v>
      </c>
      <c r="H116" s="3" t="s">
        <v>500</v>
      </c>
      <c r="I116" s="3" t="s">
        <v>418</v>
      </c>
      <c r="J116" s="3" t="s">
        <v>501</v>
      </c>
      <c r="K116" s="3" t="s">
        <v>61</v>
      </c>
      <c r="L116" s="3" t="s">
        <v>61</v>
      </c>
      <c r="M116" s="3" t="s">
        <v>88</v>
      </c>
      <c r="N116" s="4">
        <v>43942</v>
      </c>
      <c r="O116" s="4">
        <v>44286</v>
      </c>
      <c r="P116" s="3" t="s">
        <v>502</v>
      </c>
    </row>
    <row r="117" spans="1:16" ht="69.75">
      <c r="A117" s="3">
        <v>111</v>
      </c>
      <c r="B117" s="3" t="str">
        <f>"201900150506"</f>
        <v>201900150506</v>
      </c>
      <c r="C117" s="3" t="str">
        <f>"112543"</f>
        <v>112543</v>
      </c>
      <c r="D117" s="3" t="s">
        <v>503</v>
      </c>
      <c r="E117" s="3">
        <v>20554545743</v>
      </c>
      <c r="F117" s="3" t="s">
        <v>151</v>
      </c>
      <c r="G117" s="3" t="s">
        <v>357</v>
      </c>
      <c r="H117" s="3" t="s">
        <v>504</v>
      </c>
      <c r="I117" s="3" t="s">
        <v>505</v>
      </c>
      <c r="J117" s="3" t="s">
        <v>506</v>
      </c>
      <c r="K117" s="3" t="s">
        <v>43</v>
      </c>
      <c r="L117" s="3" t="s">
        <v>43</v>
      </c>
      <c r="M117" s="3" t="s">
        <v>196</v>
      </c>
      <c r="N117" s="4">
        <v>43727</v>
      </c>
      <c r="O117" s="4">
        <v>44778</v>
      </c>
      <c r="P117" s="3" t="s">
        <v>347</v>
      </c>
    </row>
    <row r="118" spans="1:16" ht="42">
      <c r="A118" s="3">
        <v>112</v>
      </c>
      <c r="B118" s="3" t="str">
        <f>"201900188018"</f>
        <v>201900188018</v>
      </c>
      <c r="C118" s="3" t="str">
        <f>"112623"</f>
        <v>112623</v>
      </c>
      <c r="D118" s="3" t="s">
        <v>507</v>
      </c>
      <c r="E118" s="3">
        <v>20554545743</v>
      </c>
      <c r="F118" s="3" t="s">
        <v>218</v>
      </c>
      <c r="G118" s="3" t="s">
        <v>508</v>
      </c>
      <c r="H118" s="3" t="s">
        <v>102</v>
      </c>
      <c r="I118" s="3" t="s">
        <v>113</v>
      </c>
      <c r="J118" s="3" t="s">
        <v>407</v>
      </c>
      <c r="K118" s="3" t="s">
        <v>115</v>
      </c>
      <c r="L118" s="3" t="s">
        <v>115</v>
      </c>
      <c r="M118" s="3" t="s">
        <v>116</v>
      </c>
      <c r="N118" s="4">
        <v>43784</v>
      </c>
      <c r="O118" s="4">
        <v>45143</v>
      </c>
      <c r="P118" s="3" t="s">
        <v>248</v>
      </c>
    </row>
    <row r="119" spans="1:16" ht="55.5">
      <c r="A119" s="3">
        <v>113</v>
      </c>
      <c r="B119" s="3" t="str">
        <f>"201600136803"</f>
        <v>201600136803</v>
      </c>
      <c r="C119" s="3" t="str">
        <f>"34099"</f>
        <v>34099</v>
      </c>
      <c r="D119" s="3" t="s">
        <v>509</v>
      </c>
      <c r="E119" s="3">
        <v>20262463771</v>
      </c>
      <c r="F119" s="3" t="s">
        <v>136</v>
      </c>
      <c r="G119" s="3" t="s">
        <v>510</v>
      </c>
      <c r="H119" s="3" t="s">
        <v>20</v>
      </c>
      <c r="I119" s="3" t="s">
        <v>66</v>
      </c>
      <c r="J119" s="3" t="s">
        <v>67</v>
      </c>
      <c r="K119" s="3" t="s">
        <v>68</v>
      </c>
      <c r="L119" s="3" t="s">
        <v>69</v>
      </c>
      <c r="M119" s="3" t="s">
        <v>70</v>
      </c>
      <c r="N119" s="4">
        <v>42667</v>
      </c>
      <c r="O119" s="4">
        <v>44430</v>
      </c>
      <c r="P119" s="3" t="s">
        <v>93</v>
      </c>
    </row>
    <row r="120" spans="1:16" ht="27.75">
      <c r="A120" s="3">
        <v>114</v>
      </c>
      <c r="B120" s="3" t="str">
        <f>"202000048040"</f>
        <v>202000048040</v>
      </c>
      <c r="C120" s="3" t="str">
        <f>"33792"</f>
        <v>33792</v>
      </c>
      <c r="D120" s="3" t="s">
        <v>511</v>
      </c>
      <c r="E120" s="3">
        <v>20100128218</v>
      </c>
      <c r="F120" s="3" t="s">
        <v>48</v>
      </c>
      <c r="G120" s="3" t="s">
        <v>49</v>
      </c>
      <c r="H120" s="3" t="s">
        <v>48</v>
      </c>
      <c r="I120" s="3" t="s">
        <v>463</v>
      </c>
      <c r="J120" s="3" t="s">
        <v>512</v>
      </c>
      <c r="K120" s="3" t="s">
        <v>52</v>
      </c>
      <c r="L120" s="3" t="s">
        <v>52</v>
      </c>
      <c r="M120" s="3" t="s">
        <v>133</v>
      </c>
      <c r="N120" s="4">
        <v>43914</v>
      </c>
      <c r="O120" s="3" t="s">
        <v>26</v>
      </c>
      <c r="P120" s="3" t="s">
        <v>231</v>
      </c>
    </row>
    <row r="121" spans="1:16" ht="42">
      <c r="A121" s="3">
        <v>115</v>
      </c>
      <c r="B121" s="3" t="str">
        <f>"201700098530"</f>
        <v>201700098530</v>
      </c>
      <c r="C121" s="3" t="str">
        <f>"112622"</f>
        <v>112622</v>
      </c>
      <c r="D121" s="3" t="s">
        <v>513</v>
      </c>
      <c r="E121" s="3">
        <v>20262463771</v>
      </c>
      <c r="F121" s="3" t="s">
        <v>514</v>
      </c>
      <c r="G121" s="3" t="s">
        <v>515</v>
      </c>
      <c r="H121" s="3"/>
      <c r="I121" s="3"/>
      <c r="J121" s="3" t="s">
        <v>67</v>
      </c>
      <c r="K121" s="3" t="s">
        <v>68</v>
      </c>
      <c r="L121" s="3" t="s">
        <v>69</v>
      </c>
      <c r="M121" s="3" t="s">
        <v>70</v>
      </c>
      <c r="N121" s="4">
        <v>42922</v>
      </c>
      <c r="O121" s="3" t="s">
        <v>26</v>
      </c>
      <c r="P121" s="3"/>
    </row>
    <row r="122" spans="1:16" ht="27.75">
      <c r="A122" s="3">
        <v>116</v>
      </c>
      <c r="B122" s="3" t="str">
        <f>"201000001548"</f>
        <v>201000001548</v>
      </c>
      <c r="C122" s="3" t="str">
        <f>"33785"</f>
        <v>33785</v>
      </c>
      <c r="D122" s="3" t="s">
        <v>516</v>
      </c>
      <c r="E122" s="3">
        <v>20100128218</v>
      </c>
      <c r="F122" s="3" t="s">
        <v>517</v>
      </c>
      <c r="G122" s="3" t="s">
        <v>74</v>
      </c>
      <c r="H122" s="3" t="s">
        <v>409</v>
      </c>
      <c r="I122" s="3" t="s">
        <v>286</v>
      </c>
      <c r="J122" s="3" t="s">
        <v>286</v>
      </c>
      <c r="K122" s="3" t="s">
        <v>288</v>
      </c>
      <c r="L122" s="3" t="s">
        <v>289</v>
      </c>
      <c r="M122" s="3" t="s">
        <v>289</v>
      </c>
      <c r="N122" s="4">
        <v>35550</v>
      </c>
      <c r="O122" s="3" t="s">
        <v>26</v>
      </c>
      <c r="P122" s="3" t="s">
        <v>518</v>
      </c>
    </row>
    <row r="123" spans="1:16" ht="42">
      <c r="A123" s="3">
        <v>117</v>
      </c>
      <c r="B123" s="3" t="str">
        <f>"202000053940"</f>
        <v>202000053940</v>
      </c>
      <c r="C123" s="3" t="str">
        <f>"105920"</f>
        <v>105920</v>
      </c>
      <c r="D123" s="3" t="s">
        <v>519</v>
      </c>
      <c r="E123" s="3">
        <v>20553167672</v>
      </c>
      <c r="F123" s="3" t="s">
        <v>520</v>
      </c>
      <c r="G123" s="3" t="s">
        <v>521</v>
      </c>
      <c r="H123" s="3" t="s">
        <v>130</v>
      </c>
      <c r="I123" s="3" t="s">
        <v>522</v>
      </c>
      <c r="J123" s="3" t="s">
        <v>226</v>
      </c>
      <c r="K123" s="3" t="s">
        <v>52</v>
      </c>
      <c r="L123" s="3" t="s">
        <v>53</v>
      </c>
      <c r="M123" s="3" t="s">
        <v>54</v>
      </c>
      <c r="N123" s="4">
        <v>43991</v>
      </c>
      <c r="O123" s="4">
        <v>45125</v>
      </c>
      <c r="P123" s="3" t="s">
        <v>523</v>
      </c>
    </row>
    <row r="124" spans="1:16" ht="42">
      <c r="A124" s="3">
        <v>118</v>
      </c>
      <c r="B124" s="3" t="str">
        <f>"201900188013"</f>
        <v>201900188013</v>
      </c>
      <c r="C124" s="3" t="str">
        <f>"112604"</f>
        <v>112604</v>
      </c>
      <c r="D124" s="3" t="s">
        <v>524</v>
      </c>
      <c r="E124" s="3">
        <v>20554545743</v>
      </c>
      <c r="F124" s="3" t="s">
        <v>151</v>
      </c>
      <c r="G124" s="3" t="s">
        <v>525</v>
      </c>
      <c r="H124" s="3" t="s">
        <v>20</v>
      </c>
      <c r="I124" s="3" t="s">
        <v>138</v>
      </c>
      <c r="J124" s="3" t="s">
        <v>526</v>
      </c>
      <c r="K124" s="3" t="s">
        <v>140</v>
      </c>
      <c r="L124" s="3" t="s">
        <v>141</v>
      </c>
      <c r="M124" s="3" t="s">
        <v>142</v>
      </c>
      <c r="N124" s="4">
        <v>43805</v>
      </c>
      <c r="O124" s="4">
        <v>44778</v>
      </c>
      <c r="P124" s="3" t="s">
        <v>175</v>
      </c>
    </row>
    <row r="125" spans="1:16" ht="69.75">
      <c r="A125" s="3">
        <v>119</v>
      </c>
      <c r="B125" s="3" t="str">
        <f>"201600136783"</f>
        <v>201600136783</v>
      </c>
      <c r="C125" s="3" t="str">
        <f>"33762"</f>
        <v>33762</v>
      </c>
      <c r="D125" s="3" t="s">
        <v>527</v>
      </c>
      <c r="E125" s="3">
        <v>20262463771</v>
      </c>
      <c r="F125" s="3" t="s">
        <v>136</v>
      </c>
      <c r="G125" s="3" t="s">
        <v>528</v>
      </c>
      <c r="H125" s="3" t="s">
        <v>85</v>
      </c>
      <c r="I125" s="3" t="s">
        <v>153</v>
      </c>
      <c r="J125" s="3" t="s">
        <v>529</v>
      </c>
      <c r="K125" s="3" t="s">
        <v>23</v>
      </c>
      <c r="L125" s="3" t="s">
        <v>24</v>
      </c>
      <c r="M125" s="3" t="s">
        <v>25</v>
      </c>
      <c r="N125" s="4">
        <v>42664</v>
      </c>
      <c r="O125" s="4">
        <v>44430</v>
      </c>
      <c r="P125" s="3" t="s">
        <v>530</v>
      </c>
    </row>
    <row r="126" spans="1:16" ht="27.75">
      <c r="A126" s="3">
        <v>120</v>
      </c>
      <c r="B126" s="3" t="str">
        <f>"202000048047"</f>
        <v>202000048047</v>
      </c>
      <c r="C126" s="3" t="str">
        <f>"33790"</f>
        <v>33790</v>
      </c>
      <c r="D126" s="3" t="s">
        <v>531</v>
      </c>
      <c r="E126" s="3">
        <v>20100128218</v>
      </c>
      <c r="F126" s="3" t="s">
        <v>130</v>
      </c>
      <c r="G126" s="3" t="s">
        <v>49</v>
      </c>
      <c r="H126" s="3" t="s">
        <v>532</v>
      </c>
      <c r="I126" s="3" t="s">
        <v>533</v>
      </c>
      <c r="J126" s="3" t="s">
        <v>533</v>
      </c>
      <c r="K126" s="3" t="s">
        <v>534</v>
      </c>
      <c r="L126" s="3" t="s">
        <v>534</v>
      </c>
      <c r="M126" s="3" t="s">
        <v>535</v>
      </c>
      <c r="N126" s="4">
        <v>43913</v>
      </c>
      <c r="O126" s="3" t="s">
        <v>26</v>
      </c>
      <c r="P126" s="3" t="s">
        <v>536</v>
      </c>
    </row>
    <row r="127" spans="1:16" ht="69.75">
      <c r="A127" s="3">
        <v>121</v>
      </c>
      <c r="B127" s="3" t="str">
        <f>"201900141245"</f>
        <v>201900141245</v>
      </c>
      <c r="C127" s="3" t="str">
        <f>"146268"</f>
        <v>146268</v>
      </c>
      <c r="D127" s="3" t="s">
        <v>537</v>
      </c>
      <c r="E127" s="3">
        <v>20600427734</v>
      </c>
      <c r="F127" s="3" t="s">
        <v>145</v>
      </c>
      <c r="G127" s="3" t="s">
        <v>538</v>
      </c>
      <c r="H127" s="3" t="s">
        <v>39</v>
      </c>
      <c r="I127" s="3" t="s">
        <v>277</v>
      </c>
      <c r="J127" s="3" t="s">
        <v>60</v>
      </c>
      <c r="K127" s="3" t="s">
        <v>61</v>
      </c>
      <c r="L127" s="3" t="s">
        <v>61</v>
      </c>
      <c r="M127" s="3" t="s">
        <v>88</v>
      </c>
      <c r="N127" s="4">
        <v>43714</v>
      </c>
      <c r="O127" s="4">
        <v>45063</v>
      </c>
      <c r="P127" s="3" t="s">
        <v>347</v>
      </c>
    </row>
    <row r="128" spans="1:16" ht="27.75">
      <c r="A128" s="3">
        <v>122</v>
      </c>
      <c r="B128" s="3" t="str">
        <f>"201000001544"</f>
        <v>201000001544</v>
      </c>
      <c r="C128" s="3" t="str">
        <f>"42298"</f>
        <v>42298</v>
      </c>
      <c r="D128" s="3" t="s">
        <v>539</v>
      </c>
      <c r="E128" s="3">
        <v>20100128218</v>
      </c>
      <c r="F128" s="3" t="s">
        <v>540</v>
      </c>
      <c r="G128" s="3" t="s">
        <v>541</v>
      </c>
      <c r="H128" s="3" t="s">
        <v>193</v>
      </c>
      <c r="I128" s="3" t="s">
        <v>542</v>
      </c>
      <c r="J128" s="3" t="s">
        <v>542</v>
      </c>
      <c r="K128" s="3" t="s">
        <v>543</v>
      </c>
      <c r="L128" s="3" t="s">
        <v>544</v>
      </c>
      <c r="M128" s="3" t="s">
        <v>544</v>
      </c>
      <c r="N128" s="4">
        <v>38679</v>
      </c>
      <c r="O128" s="3" t="s">
        <v>26</v>
      </c>
      <c r="P128" s="3" t="s">
        <v>461</v>
      </c>
    </row>
    <row r="129" spans="1:16" ht="27.75">
      <c r="A129" s="3">
        <v>123</v>
      </c>
      <c r="B129" s="3" t="str">
        <f>"201900130859"</f>
        <v>201900130859</v>
      </c>
      <c r="C129" s="3" t="str">
        <f>"145829"</f>
        <v>145829</v>
      </c>
      <c r="D129" s="3" t="s">
        <v>545</v>
      </c>
      <c r="E129" s="3">
        <v>20304177552</v>
      </c>
      <c r="F129" s="3" t="s">
        <v>546</v>
      </c>
      <c r="G129" s="3" t="s">
        <v>547</v>
      </c>
      <c r="H129" s="3" t="s">
        <v>20</v>
      </c>
      <c r="I129" s="3" t="s">
        <v>200</v>
      </c>
      <c r="J129" s="3" t="s">
        <v>548</v>
      </c>
      <c r="K129" s="3" t="s">
        <v>61</v>
      </c>
      <c r="L129" s="3" t="s">
        <v>61</v>
      </c>
      <c r="M129" s="3" t="s">
        <v>88</v>
      </c>
      <c r="N129" s="4">
        <v>43696</v>
      </c>
      <c r="O129" s="3" t="s">
        <v>26</v>
      </c>
      <c r="P129" s="3" t="s">
        <v>123</v>
      </c>
    </row>
    <row r="130" spans="1:16" ht="27.75">
      <c r="A130" s="3">
        <v>124</v>
      </c>
      <c r="B130" s="3" t="str">
        <f>"201000001545"</f>
        <v>201000001545</v>
      </c>
      <c r="C130" s="3" t="str">
        <f>"34229"</f>
        <v>34229</v>
      </c>
      <c r="D130" s="3" t="s">
        <v>549</v>
      </c>
      <c r="E130" s="3">
        <v>20100128218</v>
      </c>
      <c r="F130" s="3" t="s">
        <v>550</v>
      </c>
      <c r="G130" s="3" t="s">
        <v>74</v>
      </c>
      <c r="H130" s="3" t="s">
        <v>193</v>
      </c>
      <c r="I130" s="3" t="s">
        <v>551</v>
      </c>
      <c r="J130" s="3" t="s">
        <v>551</v>
      </c>
      <c r="K130" s="3" t="s">
        <v>34</v>
      </c>
      <c r="L130" s="3" t="s">
        <v>35</v>
      </c>
      <c r="M130" s="3" t="s">
        <v>36</v>
      </c>
      <c r="N130" s="4">
        <v>37355</v>
      </c>
      <c r="O130" s="3" t="s">
        <v>26</v>
      </c>
      <c r="P130" s="3" t="s">
        <v>552</v>
      </c>
    </row>
    <row r="131" spans="1:16" ht="55.5">
      <c r="A131" s="3">
        <v>125</v>
      </c>
      <c r="B131" s="3" t="str">
        <f>"202000145460"</f>
        <v>202000145460</v>
      </c>
      <c r="C131" s="3" t="str">
        <f>"146946"</f>
        <v>146946</v>
      </c>
      <c r="D131" s="3" t="s">
        <v>553</v>
      </c>
      <c r="E131" s="3">
        <v>20506151547</v>
      </c>
      <c r="F131" s="3" t="s">
        <v>95</v>
      </c>
      <c r="G131" s="3" t="s">
        <v>335</v>
      </c>
      <c r="H131" s="3" t="s">
        <v>554</v>
      </c>
      <c r="I131" s="3" t="s">
        <v>555</v>
      </c>
      <c r="J131" s="3" t="s">
        <v>556</v>
      </c>
      <c r="K131" s="3" t="s">
        <v>43</v>
      </c>
      <c r="L131" s="3" t="s">
        <v>43</v>
      </c>
      <c r="M131" s="3" t="s">
        <v>196</v>
      </c>
      <c r="N131" s="4">
        <v>44125</v>
      </c>
      <c r="O131" s="4">
        <v>44196</v>
      </c>
      <c r="P131" s="3" t="s">
        <v>557</v>
      </c>
    </row>
    <row r="132" spans="1:16" ht="27.75">
      <c r="A132" s="3">
        <v>126</v>
      </c>
      <c r="B132" s="3" t="str">
        <f>"201000001551"</f>
        <v>201000001551</v>
      </c>
      <c r="C132" s="3" t="str">
        <f>"33783"</f>
        <v>33783</v>
      </c>
      <c r="D132" s="3" t="s">
        <v>558</v>
      </c>
      <c r="E132" s="3">
        <v>20100128218</v>
      </c>
      <c r="F132" s="3" t="s">
        <v>559</v>
      </c>
      <c r="G132" s="3" t="s">
        <v>74</v>
      </c>
      <c r="H132" s="3" t="s">
        <v>409</v>
      </c>
      <c r="I132" s="3" t="s">
        <v>211</v>
      </c>
      <c r="J132" s="3" t="s">
        <v>211</v>
      </c>
      <c r="K132" s="3" t="s">
        <v>213</v>
      </c>
      <c r="L132" s="3" t="s">
        <v>214</v>
      </c>
      <c r="M132" s="3" t="s">
        <v>560</v>
      </c>
      <c r="N132" s="4">
        <v>35550</v>
      </c>
      <c r="O132" s="3" t="s">
        <v>26</v>
      </c>
      <c r="P132" s="3" t="s">
        <v>561</v>
      </c>
    </row>
    <row r="133" spans="1:16" ht="42">
      <c r="A133" s="3">
        <v>127</v>
      </c>
      <c r="B133" s="3" t="str">
        <f>"201800200524"</f>
        <v>201800200524</v>
      </c>
      <c r="C133" s="3" t="str">
        <f>"119828"</f>
        <v>119828</v>
      </c>
      <c r="D133" s="3" t="s">
        <v>562</v>
      </c>
      <c r="E133" s="3">
        <v>20513251506</v>
      </c>
      <c r="F133" s="3" t="s">
        <v>120</v>
      </c>
      <c r="G133" s="3" t="s">
        <v>363</v>
      </c>
      <c r="H133" s="3" t="s">
        <v>130</v>
      </c>
      <c r="I133" s="3" t="s">
        <v>522</v>
      </c>
      <c r="J133" s="3" t="s">
        <v>226</v>
      </c>
      <c r="K133" s="3" t="s">
        <v>52</v>
      </c>
      <c r="L133" s="3" t="s">
        <v>53</v>
      </c>
      <c r="M133" s="3" t="s">
        <v>54</v>
      </c>
      <c r="N133" s="4">
        <v>44039</v>
      </c>
      <c r="O133" s="4">
        <v>45264</v>
      </c>
      <c r="P133" s="3" t="s">
        <v>563</v>
      </c>
    </row>
    <row r="134" spans="1:16" ht="27.75">
      <c r="A134" s="3">
        <v>128</v>
      </c>
      <c r="B134" s="3" t="str">
        <f>"201800200528"</f>
        <v>201800200528</v>
      </c>
      <c r="C134" s="3" t="str">
        <f>"119830"</f>
        <v>119830</v>
      </c>
      <c r="D134" s="3" t="s">
        <v>564</v>
      </c>
      <c r="E134" s="3">
        <v>20513251506</v>
      </c>
      <c r="F134" s="3" t="s">
        <v>565</v>
      </c>
      <c r="G134" s="3" t="s">
        <v>363</v>
      </c>
      <c r="H134" s="3" t="s">
        <v>112</v>
      </c>
      <c r="I134" s="3" t="s">
        <v>113</v>
      </c>
      <c r="J134" s="3" t="s">
        <v>566</v>
      </c>
      <c r="K134" s="3" t="s">
        <v>115</v>
      </c>
      <c r="L134" s="3" t="s">
        <v>115</v>
      </c>
      <c r="M134" s="3" t="s">
        <v>116</v>
      </c>
      <c r="N134" s="4">
        <v>43440</v>
      </c>
      <c r="O134" s="4">
        <v>45264</v>
      </c>
      <c r="P134" s="3" t="s">
        <v>108</v>
      </c>
    </row>
    <row r="135" spans="1:16" ht="55.5">
      <c r="A135" s="3">
        <v>129</v>
      </c>
      <c r="B135" s="3" t="str">
        <f>"201700182308"</f>
        <v>201700182308</v>
      </c>
      <c r="C135" s="3" t="str">
        <f>"34097"</f>
        <v>34097</v>
      </c>
      <c r="D135" s="3" t="s">
        <v>567</v>
      </c>
      <c r="E135" s="3">
        <v>20262463771</v>
      </c>
      <c r="F135" s="3" t="s">
        <v>136</v>
      </c>
      <c r="G135" s="3" t="s">
        <v>137</v>
      </c>
      <c r="H135" s="3" t="s">
        <v>448</v>
      </c>
      <c r="I135" s="3" t="s">
        <v>211</v>
      </c>
      <c r="J135" s="3" t="s">
        <v>353</v>
      </c>
      <c r="K135" s="3" t="s">
        <v>213</v>
      </c>
      <c r="L135" s="3" t="s">
        <v>214</v>
      </c>
      <c r="M135" s="3" t="s">
        <v>215</v>
      </c>
      <c r="N135" s="4">
        <v>43041</v>
      </c>
      <c r="O135" s="4">
        <v>44429</v>
      </c>
      <c r="P135" s="3" t="s">
        <v>216</v>
      </c>
    </row>
    <row r="136" spans="1:16" ht="42">
      <c r="A136" s="3">
        <v>130</v>
      </c>
      <c r="B136" s="3" t="str">
        <f>"201800112501"</f>
        <v>201800112501</v>
      </c>
      <c r="C136" s="3" t="str">
        <f>"105610"</f>
        <v>105610</v>
      </c>
      <c r="D136" s="3" t="s">
        <v>568</v>
      </c>
      <c r="E136" s="3">
        <v>20553167672</v>
      </c>
      <c r="F136" s="3" t="s">
        <v>159</v>
      </c>
      <c r="G136" s="3" t="s">
        <v>111</v>
      </c>
      <c r="H136" s="3" t="s">
        <v>112</v>
      </c>
      <c r="I136" s="3" t="s">
        <v>353</v>
      </c>
      <c r="J136" s="3" t="s">
        <v>569</v>
      </c>
      <c r="K136" s="3" t="s">
        <v>213</v>
      </c>
      <c r="L136" s="3" t="s">
        <v>214</v>
      </c>
      <c r="M136" s="3" t="s">
        <v>215</v>
      </c>
      <c r="N136" s="4">
        <v>43294</v>
      </c>
      <c r="O136" s="4">
        <v>45125</v>
      </c>
      <c r="P136" s="3" t="s">
        <v>343</v>
      </c>
    </row>
    <row r="137" spans="1:16" ht="69.75">
      <c r="A137" s="3">
        <v>131</v>
      </c>
      <c r="B137" s="3" t="str">
        <f>"202000061015"</f>
        <v>202000061015</v>
      </c>
      <c r="C137" s="3" t="str">
        <f>"84533"</f>
        <v>84533</v>
      </c>
      <c r="D137" s="3" t="s">
        <v>570</v>
      </c>
      <c r="E137" s="3">
        <v>20513251506</v>
      </c>
      <c r="F137" s="3" t="s">
        <v>498</v>
      </c>
      <c r="G137" s="3" t="s">
        <v>571</v>
      </c>
      <c r="H137" s="3" t="s">
        <v>498</v>
      </c>
      <c r="I137" s="3" t="s">
        <v>418</v>
      </c>
      <c r="J137" s="3" t="s">
        <v>572</v>
      </c>
      <c r="K137" s="3" t="s">
        <v>61</v>
      </c>
      <c r="L137" s="3" t="s">
        <v>61</v>
      </c>
      <c r="M137" s="3" t="s">
        <v>88</v>
      </c>
      <c r="N137" s="4">
        <v>44070</v>
      </c>
      <c r="O137" s="3" t="s">
        <v>26</v>
      </c>
      <c r="P137" s="3" t="s">
        <v>573</v>
      </c>
    </row>
    <row r="138" spans="1:16" ht="27.75">
      <c r="A138" s="3">
        <v>132</v>
      </c>
      <c r="B138" s="3" t="str">
        <f>"201600136710"</f>
        <v>201600136710</v>
      </c>
      <c r="C138" s="3" t="str">
        <f>"104290"</f>
        <v>104290</v>
      </c>
      <c r="D138" s="3" t="s">
        <v>574</v>
      </c>
      <c r="E138" s="3">
        <v>20262463771</v>
      </c>
      <c r="F138" s="3" t="s">
        <v>575</v>
      </c>
      <c r="G138" s="3" t="s">
        <v>137</v>
      </c>
      <c r="H138" s="3" t="s">
        <v>428</v>
      </c>
      <c r="I138" s="3" t="s">
        <v>103</v>
      </c>
      <c r="J138" s="3" t="s">
        <v>576</v>
      </c>
      <c r="K138" s="3" t="s">
        <v>105</v>
      </c>
      <c r="L138" s="3" t="s">
        <v>106</v>
      </c>
      <c r="M138" s="3" t="s">
        <v>107</v>
      </c>
      <c r="N138" s="4">
        <v>42663</v>
      </c>
      <c r="O138" s="4">
        <v>44430</v>
      </c>
      <c r="P138" s="3" t="s">
        <v>248</v>
      </c>
    </row>
    <row r="139" spans="1:16" ht="27.75">
      <c r="A139" s="3">
        <v>133</v>
      </c>
      <c r="B139" s="3" t="str">
        <f>"201700032050"</f>
        <v>201700032050</v>
      </c>
      <c r="C139" s="3" t="str">
        <f>"33746"</f>
        <v>33746</v>
      </c>
      <c r="D139" s="3" t="s">
        <v>577</v>
      </c>
      <c r="E139" s="3">
        <v>20501458164</v>
      </c>
      <c r="F139" s="3" t="s">
        <v>83</v>
      </c>
      <c r="G139" s="3" t="s">
        <v>192</v>
      </c>
      <c r="H139" s="3" t="s">
        <v>83</v>
      </c>
      <c r="I139" s="3" t="s">
        <v>578</v>
      </c>
      <c r="J139" s="3" t="s">
        <v>579</v>
      </c>
      <c r="K139" s="3" t="s">
        <v>43</v>
      </c>
      <c r="L139" s="3" t="s">
        <v>43</v>
      </c>
      <c r="M139" s="3" t="s">
        <v>196</v>
      </c>
      <c r="N139" s="4">
        <v>42811</v>
      </c>
      <c r="O139" s="3" t="s">
        <v>26</v>
      </c>
      <c r="P139" s="3" t="s">
        <v>221</v>
      </c>
    </row>
    <row r="140" spans="1:16" ht="27.75">
      <c r="A140" s="3">
        <v>134</v>
      </c>
      <c r="B140" s="3" t="str">
        <f>"201900196067"</f>
        <v>201900196067</v>
      </c>
      <c r="C140" s="3" t="str">
        <f>"148002"</f>
        <v>148002</v>
      </c>
      <c r="D140" s="3" t="s">
        <v>580</v>
      </c>
      <c r="E140" s="3">
        <v>20304177552</v>
      </c>
      <c r="F140" s="3" t="s">
        <v>546</v>
      </c>
      <c r="G140" s="3" t="s">
        <v>581</v>
      </c>
      <c r="H140" s="3" t="s">
        <v>546</v>
      </c>
      <c r="I140" s="3" t="s">
        <v>582</v>
      </c>
      <c r="J140" s="3" t="s">
        <v>583</v>
      </c>
      <c r="K140" s="3" t="s">
        <v>213</v>
      </c>
      <c r="L140" s="3" t="s">
        <v>214</v>
      </c>
      <c r="M140" s="3" t="s">
        <v>560</v>
      </c>
      <c r="N140" s="4">
        <v>43798</v>
      </c>
      <c r="O140" s="3" t="s">
        <v>26</v>
      </c>
      <c r="P140" s="3" t="s">
        <v>123</v>
      </c>
    </row>
    <row r="141" spans="1:16" ht="42">
      <c r="A141" s="3">
        <v>135</v>
      </c>
      <c r="B141" s="3" t="str">
        <f>"201900174157"</f>
        <v>201900174157</v>
      </c>
      <c r="C141" s="3" t="str">
        <f>"133505"</f>
        <v>133505</v>
      </c>
      <c r="D141" s="3" t="s">
        <v>584</v>
      </c>
      <c r="E141" s="3">
        <v>20513320753</v>
      </c>
      <c r="F141" s="3" t="s">
        <v>585</v>
      </c>
      <c r="G141" s="3" t="s">
        <v>586</v>
      </c>
      <c r="H141" s="3" t="s">
        <v>587</v>
      </c>
      <c r="I141" s="3" t="s">
        <v>277</v>
      </c>
      <c r="J141" s="3" t="s">
        <v>588</v>
      </c>
      <c r="K141" s="3" t="s">
        <v>61</v>
      </c>
      <c r="L141" s="3" t="s">
        <v>61</v>
      </c>
      <c r="M141" s="3" t="s">
        <v>62</v>
      </c>
      <c r="N141" s="4">
        <v>43767</v>
      </c>
      <c r="O141" s="3" t="s">
        <v>26</v>
      </c>
      <c r="P141" s="3" t="s">
        <v>589</v>
      </c>
    </row>
    <row r="142" spans="1:16" ht="42">
      <c r="A142" s="3">
        <v>136</v>
      </c>
      <c r="B142" s="3" t="str">
        <f>"201800200497"</f>
        <v>201800200497</v>
      </c>
      <c r="C142" s="3" t="str">
        <f>"119822"</f>
        <v>119822</v>
      </c>
      <c r="D142" s="3" t="s">
        <v>590</v>
      </c>
      <c r="E142" s="3">
        <v>20513251506</v>
      </c>
      <c r="F142" s="3" t="s">
        <v>384</v>
      </c>
      <c r="G142" s="3" t="s">
        <v>363</v>
      </c>
      <c r="H142" s="3" t="s">
        <v>20</v>
      </c>
      <c r="I142" s="3" t="s">
        <v>138</v>
      </c>
      <c r="J142" s="3" t="s">
        <v>526</v>
      </c>
      <c r="K142" s="3" t="s">
        <v>140</v>
      </c>
      <c r="L142" s="3" t="s">
        <v>141</v>
      </c>
      <c r="M142" s="3" t="s">
        <v>142</v>
      </c>
      <c r="N142" s="4">
        <v>43447</v>
      </c>
      <c r="O142" s="4">
        <v>45264</v>
      </c>
      <c r="P142" s="3" t="s">
        <v>260</v>
      </c>
    </row>
    <row r="143" spans="1:16" ht="27.75">
      <c r="A143" s="3">
        <v>137</v>
      </c>
      <c r="B143" s="3" t="str">
        <f>"201800112469"</f>
        <v>201800112469</v>
      </c>
      <c r="C143" s="3" t="str">
        <f>"107594"</f>
        <v>107594</v>
      </c>
      <c r="D143" s="3" t="s">
        <v>591</v>
      </c>
      <c r="E143" s="3">
        <v>20553167672</v>
      </c>
      <c r="F143" s="3" t="s">
        <v>110</v>
      </c>
      <c r="G143" s="3" t="s">
        <v>111</v>
      </c>
      <c r="H143" s="3" t="s">
        <v>112</v>
      </c>
      <c r="I143" s="3" t="s">
        <v>103</v>
      </c>
      <c r="J143" s="3" t="s">
        <v>104</v>
      </c>
      <c r="K143" s="3" t="s">
        <v>105</v>
      </c>
      <c r="L143" s="3" t="s">
        <v>106</v>
      </c>
      <c r="M143" s="3" t="s">
        <v>107</v>
      </c>
      <c r="N143" s="4">
        <v>43293</v>
      </c>
      <c r="O143" s="3" t="s">
        <v>26</v>
      </c>
      <c r="P143" s="3" t="s">
        <v>108</v>
      </c>
    </row>
    <row r="144" spans="1:16" ht="42">
      <c r="A144" s="3">
        <v>138</v>
      </c>
      <c r="B144" s="3" t="str">
        <f>"201600136695"</f>
        <v>201600136695</v>
      </c>
      <c r="C144" s="3" t="str">
        <f>"34095"</f>
        <v>34095</v>
      </c>
      <c r="D144" s="3" t="s">
        <v>592</v>
      </c>
      <c r="E144" s="3">
        <v>20262463771</v>
      </c>
      <c r="F144" s="3" t="s">
        <v>593</v>
      </c>
      <c r="G144" s="3" t="s">
        <v>137</v>
      </c>
      <c r="H144" s="3" t="s">
        <v>112</v>
      </c>
      <c r="I144" s="3" t="s">
        <v>286</v>
      </c>
      <c r="J144" s="3" t="s">
        <v>320</v>
      </c>
      <c r="K144" s="3" t="s">
        <v>288</v>
      </c>
      <c r="L144" s="3" t="s">
        <v>289</v>
      </c>
      <c r="M144" s="3" t="s">
        <v>289</v>
      </c>
      <c r="N144" s="4">
        <v>42650</v>
      </c>
      <c r="O144" s="4">
        <v>44429</v>
      </c>
      <c r="P144" s="3" t="s">
        <v>368</v>
      </c>
    </row>
    <row r="145" spans="1:16" ht="27.75">
      <c r="A145" s="3">
        <v>139</v>
      </c>
      <c r="B145" s="3" t="str">
        <f>"202000053939"</f>
        <v>202000053939</v>
      </c>
      <c r="C145" s="3" t="str">
        <f>"105611"</f>
        <v>105611</v>
      </c>
      <c r="D145" s="3" t="s">
        <v>594</v>
      </c>
      <c r="E145" s="3">
        <v>20553167672</v>
      </c>
      <c r="F145" s="3" t="s">
        <v>159</v>
      </c>
      <c r="G145" s="3" t="s">
        <v>521</v>
      </c>
      <c r="H145" s="3" t="s">
        <v>130</v>
      </c>
      <c r="I145" s="3" t="s">
        <v>131</v>
      </c>
      <c r="J145" s="3" t="s">
        <v>132</v>
      </c>
      <c r="K145" s="3" t="s">
        <v>52</v>
      </c>
      <c r="L145" s="3" t="s">
        <v>52</v>
      </c>
      <c r="M145" s="3" t="s">
        <v>52</v>
      </c>
      <c r="N145" s="4">
        <v>43955</v>
      </c>
      <c r="O145" s="4">
        <v>45125</v>
      </c>
      <c r="P145" s="3" t="s">
        <v>231</v>
      </c>
    </row>
    <row r="146" spans="1:16" ht="27.75">
      <c r="A146" s="3">
        <v>140</v>
      </c>
      <c r="B146" s="3" t="str">
        <f>"201800200493"</f>
        <v>201800200493</v>
      </c>
      <c r="C146" s="3" t="str">
        <f>"119831"</f>
        <v>119831</v>
      </c>
      <c r="D146" s="3" t="s">
        <v>595</v>
      </c>
      <c r="E146" s="3">
        <v>20513251506</v>
      </c>
      <c r="F146" s="3" t="s">
        <v>120</v>
      </c>
      <c r="G146" s="3" t="s">
        <v>363</v>
      </c>
      <c r="H146" s="3" t="s">
        <v>112</v>
      </c>
      <c r="I146" s="3" t="s">
        <v>596</v>
      </c>
      <c r="J146" s="3" t="s">
        <v>247</v>
      </c>
      <c r="K146" s="3" t="s">
        <v>105</v>
      </c>
      <c r="L146" s="3" t="s">
        <v>106</v>
      </c>
      <c r="M146" s="3" t="s">
        <v>107</v>
      </c>
      <c r="N146" s="4">
        <v>43441</v>
      </c>
      <c r="O146" s="4">
        <v>45264</v>
      </c>
      <c r="P146" s="3" t="s">
        <v>108</v>
      </c>
    </row>
    <row r="147" spans="1:16" ht="69.75">
      <c r="A147" s="3">
        <v>141</v>
      </c>
      <c r="B147" s="3" t="str">
        <f>"201400113667"</f>
        <v>201400113667</v>
      </c>
      <c r="C147" s="3" t="str">
        <f>"33794"</f>
        <v>33794</v>
      </c>
      <c r="D147" s="3" t="s">
        <v>597</v>
      </c>
      <c r="E147" s="3">
        <v>20100128218</v>
      </c>
      <c r="F147" s="3" t="s">
        <v>598</v>
      </c>
      <c r="G147" s="3" t="s">
        <v>74</v>
      </c>
      <c r="H147" s="3" t="s">
        <v>85</v>
      </c>
      <c r="I147" s="3" t="s">
        <v>185</v>
      </c>
      <c r="J147" s="3" t="s">
        <v>87</v>
      </c>
      <c r="K147" s="3" t="s">
        <v>61</v>
      </c>
      <c r="L147" s="3" t="s">
        <v>61</v>
      </c>
      <c r="M147" s="3" t="s">
        <v>88</v>
      </c>
      <c r="N147" s="4">
        <v>41897</v>
      </c>
      <c r="O147" s="3" t="s">
        <v>26</v>
      </c>
      <c r="P147" s="3" t="s">
        <v>599</v>
      </c>
    </row>
    <row r="148" spans="1:16" ht="27.75">
      <c r="A148" s="3">
        <v>142</v>
      </c>
      <c r="B148" s="3" t="str">
        <f>"201600042035"</f>
        <v>201600042035</v>
      </c>
      <c r="C148" s="3" t="str">
        <f>"33789"</f>
        <v>33789</v>
      </c>
      <c r="D148" s="3" t="s">
        <v>600</v>
      </c>
      <c r="E148" s="3">
        <v>20100128218</v>
      </c>
      <c r="F148" s="3" t="s">
        <v>601</v>
      </c>
      <c r="G148" s="3" t="s">
        <v>74</v>
      </c>
      <c r="H148" s="3" t="s">
        <v>75</v>
      </c>
      <c r="I148" s="3" t="s">
        <v>602</v>
      </c>
      <c r="J148" s="3" t="s">
        <v>603</v>
      </c>
      <c r="K148" s="3" t="s">
        <v>456</v>
      </c>
      <c r="L148" s="3" t="s">
        <v>604</v>
      </c>
      <c r="M148" s="3" t="s">
        <v>605</v>
      </c>
      <c r="N148" s="4">
        <v>42510</v>
      </c>
      <c r="O148" s="3" t="s">
        <v>26</v>
      </c>
      <c r="P148" s="3" t="s">
        <v>606</v>
      </c>
    </row>
    <row r="149" spans="1:16" ht="55.5">
      <c r="A149" s="3">
        <v>143</v>
      </c>
      <c r="B149" s="3" t="str">
        <f>"201900202072"</f>
        <v>201900202072</v>
      </c>
      <c r="C149" s="3" t="str">
        <f>"33807"</f>
        <v>33807</v>
      </c>
      <c r="D149" s="3" t="s">
        <v>607</v>
      </c>
      <c r="E149" s="3">
        <v>20503840121</v>
      </c>
      <c r="F149" s="3" t="s">
        <v>91</v>
      </c>
      <c r="G149" s="3" t="s">
        <v>481</v>
      </c>
      <c r="H149" s="3" t="s">
        <v>587</v>
      </c>
      <c r="I149" s="3" t="s">
        <v>483</v>
      </c>
      <c r="J149" s="3" t="s">
        <v>484</v>
      </c>
      <c r="K149" s="3" t="s">
        <v>61</v>
      </c>
      <c r="L149" s="3" t="s">
        <v>61</v>
      </c>
      <c r="M149" s="3" t="s">
        <v>62</v>
      </c>
      <c r="N149" s="4">
        <v>44057</v>
      </c>
      <c r="O149" s="3" t="s">
        <v>26</v>
      </c>
      <c r="P149" s="3" t="s">
        <v>608</v>
      </c>
    </row>
    <row r="150" spans="1:16" ht="27.75">
      <c r="A150" s="3">
        <v>144</v>
      </c>
      <c r="B150" s="3" t="str">
        <f>"202000085011"</f>
        <v>202000085011</v>
      </c>
      <c r="C150" s="3" t="str">
        <f>"150064"</f>
        <v>150064</v>
      </c>
      <c r="D150" s="3" t="s">
        <v>609</v>
      </c>
      <c r="E150" s="3">
        <v>20600427734</v>
      </c>
      <c r="F150" s="3" t="s">
        <v>145</v>
      </c>
      <c r="G150" s="3" t="s">
        <v>224</v>
      </c>
      <c r="H150" s="3" t="s">
        <v>546</v>
      </c>
      <c r="I150" s="3" t="s">
        <v>582</v>
      </c>
      <c r="J150" s="3" t="s">
        <v>610</v>
      </c>
      <c r="K150" s="3" t="s">
        <v>213</v>
      </c>
      <c r="L150" s="3" t="s">
        <v>214</v>
      </c>
      <c r="M150" s="3" t="s">
        <v>560</v>
      </c>
      <c r="N150" s="4">
        <v>44041</v>
      </c>
      <c r="O150" s="3" t="s">
        <v>26</v>
      </c>
      <c r="P150" s="3" t="s">
        <v>123</v>
      </c>
    </row>
    <row r="151" spans="1:16" ht="27.75">
      <c r="A151" s="3">
        <v>145</v>
      </c>
      <c r="B151" s="3" t="str">
        <f>"201900095269"</f>
        <v>201900095269</v>
      </c>
      <c r="C151" s="3" t="str">
        <f>"139183"</f>
        <v>139183</v>
      </c>
      <c r="D151" s="3" t="s">
        <v>611</v>
      </c>
      <c r="E151" s="3">
        <v>20555209178</v>
      </c>
      <c r="F151" s="3" t="s">
        <v>612</v>
      </c>
      <c r="G151" s="3" t="s">
        <v>613</v>
      </c>
      <c r="H151" s="3" t="s">
        <v>20</v>
      </c>
      <c r="I151" s="3" t="s">
        <v>200</v>
      </c>
      <c r="J151" s="3" t="s">
        <v>614</v>
      </c>
      <c r="K151" s="3" t="s">
        <v>61</v>
      </c>
      <c r="L151" s="3" t="s">
        <v>61</v>
      </c>
      <c r="M151" s="3" t="s">
        <v>88</v>
      </c>
      <c r="N151" s="4">
        <v>43634</v>
      </c>
      <c r="O151" s="3" t="s">
        <v>26</v>
      </c>
      <c r="P151" s="3" t="s">
        <v>123</v>
      </c>
    </row>
    <row r="152" spans="1:16" ht="69.75">
      <c r="A152" s="3">
        <v>146</v>
      </c>
      <c r="B152" s="3" t="str">
        <f>"201800200519"</f>
        <v>201800200519</v>
      </c>
      <c r="C152" s="3" t="str">
        <f>"119826"</f>
        <v>119826</v>
      </c>
      <c r="D152" s="3" t="s">
        <v>615</v>
      </c>
      <c r="E152" s="3">
        <v>20513251506</v>
      </c>
      <c r="F152" s="3" t="s">
        <v>120</v>
      </c>
      <c r="G152" s="3" t="s">
        <v>363</v>
      </c>
      <c r="H152" s="3" t="s">
        <v>366</v>
      </c>
      <c r="I152" s="3" t="s">
        <v>294</v>
      </c>
      <c r="J152" s="3" t="s">
        <v>236</v>
      </c>
      <c r="K152" s="3" t="s">
        <v>43</v>
      </c>
      <c r="L152" s="3" t="s">
        <v>43</v>
      </c>
      <c r="M152" s="3" t="s">
        <v>196</v>
      </c>
      <c r="N152" s="4">
        <v>43446</v>
      </c>
      <c r="O152" s="4">
        <v>45264</v>
      </c>
      <c r="P152" s="3" t="s">
        <v>616</v>
      </c>
    </row>
    <row r="153" spans="1:16" ht="42">
      <c r="A153" s="3">
        <v>147</v>
      </c>
      <c r="B153" s="3" t="str">
        <f>"201600136797"</f>
        <v>201600136797</v>
      </c>
      <c r="C153" s="3" t="str">
        <f>"34100"</f>
        <v>34100</v>
      </c>
      <c r="D153" s="3" t="s">
        <v>617</v>
      </c>
      <c r="E153" s="3">
        <v>20262463771</v>
      </c>
      <c r="F153" s="3" t="s">
        <v>136</v>
      </c>
      <c r="G153" s="3" t="s">
        <v>137</v>
      </c>
      <c r="H153" s="3" t="s">
        <v>20</v>
      </c>
      <c r="I153" s="3" t="s">
        <v>41</v>
      </c>
      <c r="J153" s="3" t="s">
        <v>618</v>
      </c>
      <c r="K153" s="3" t="s">
        <v>43</v>
      </c>
      <c r="L153" s="3" t="s">
        <v>44</v>
      </c>
      <c r="M153" s="3" t="s">
        <v>45</v>
      </c>
      <c r="N153" s="4">
        <v>42678</v>
      </c>
      <c r="O153" s="4">
        <v>44429</v>
      </c>
      <c r="P153" s="3" t="s">
        <v>260</v>
      </c>
    </row>
    <row r="154" spans="1:16" ht="27.75">
      <c r="A154" s="3">
        <v>148</v>
      </c>
      <c r="B154" s="3" t="str">
        <f>"201800152802"</f>
        <v>201800152802</v>
      </c>
      <c r="C154" s="3" t="str">
        <f>"138604"</f>
        <v>138604</v>
      </c>
      <c r="D154" s="3" t="s">
        <v>619</v>
      </c>
      <c r="E154" s="3">
        <v>20603111304</v>
      </c>
      <c r="F154" s="3" t="s">
        <v>438</v>
      </c>
      <c r="G154" s="3" t="s">
        <v>620</v>
      </c>
      <c r="H154" s="3" t="s">
        <v>20</v>
      </c>
      <c r="I154" s="3" t="s">
        <v>153</v>
      </c>
      <c r="J154" s="3" t="s">
        <v>621</v>
      </c>
      <c r="K154" s="3" t="s">
        <v>23</v>
      </c>
      <c r="L154" s="3" t="s">
        <v>24</v>
      </c>
      <c r="M154" s="3" t="s">
        <v>25</v>
      </c>
      <c r="N154" s="4">
        <v>43361</v>
      </c>
      <c r="O154" s="3" t="s">
        <v>26</v>
      </c>
      <c r="P154" s="3" t="s">
        <v>123</v>
      </c>
    </row>
    <row r="155" spans="1:16" ht="27.75">
      <c r="A155" s="3">
        <v>149</v>
      </c>
      <c r="B155" s="3" t="str">
        <f>"202000145450"</f>
        <v>202000145450</v>
      </c>
      <c r="C155" s="3" t="str">
        <f>"151676"</f>
        <v>151676</v>
      </c>
      <c r="D155" s="3" t="s">
        <v>622</v>
      </c>
      <c r="E155" s="3">
        <v>20506151547</v>
      </c>
      <c r="F155" s="3" t="s">
        <v>95</v>
      </c>
      <c r="G155" s="3" t="s">
        <v>129</v>
      </c>
      <c r="H155" s="3" t="s">
        <v>130</v>
      </c>
      <c r="I155" s="3" t="s">
        <v>522</v>
      </c>
      <c r="J155" s="3" t="s">
        <v>51</v>
      </c>
      <c r="K155" s="3" t="s">
        <v>52</v>
      </c>
      <c r="L155" s="3" t="s">
        <v>53</v>
      </c>
      <c r="M155" s="3" t="s">
        <v>54</v>
      </c>
      <c r="N155" s="4">
        <v>44125</v>
      </c>
      <c r="O155" s="4">
        <v>44196</v>
      </c>
      <c r="P155" s="3" t="s">
        <v>204</v>
      </c>
    </row>
    <row r="156" spans="1:16" ht="42">
      <c r="A156" s="3">
        <v>150</v>
      </c>
      <c r="B156" s="3" t="str">
        <f>"201800200518"</f>
        <v>201800200518</v>
      </c>
      <c r="C156" s="3" t="str">
        <f>"119832"</f>
        <v>119832</v>
      </c>
      <c r="D156" s="3" t="s">
        <v>623</v>
      </c>
      <c r="E156" s="3">
        <v>20513251506</v>
      </c>
      <c r="F156" s="3" t="s">
        <v>120</v>
      </c>
      <c r="G156" s="3" t="s">
        <v>363</v>
      </c>
      <c r="H156" s="3" t="s">
        <v>20</v>
      </c>
      <c r="I156" s="3" t="s">
        <v>41</v>
      </c>
      <c r="J156" s="3" t="s">
        <v>624</v>
      </c>
      <c r="K156" s="3" t="s">
        <v>43</v>
      </c>
      <c r="L156" s="3" t="s">
        <v>44</v>
      </c>
      <c r="M156" s="3" t="s">
        <v>45</v>
      </c>
      <c r="N156" s="4">
        <v>43445</v>
      </c>
      <c r="O156" s="4">
        <v>45264</v>
      </c>
      <c r="P156" s="3" t="s">
        <v>313</v>
      </c>
    </row>
    <row r="157" spans="1:16" ht="27.75">
      <c r="A157" s="3">
        <v>151</v>
      </c>
      <c r="B157" s="3" t="str">
        <f>"201800200515"</f>
        <v>201800200515</v>
      </c>
      <c r="C157" s="3" t="str">
        <f>"119833"</f>
        <v>119833</v>
      </c>
      <c r="D157" s="3" t="s">
        <v>625</v>
      </c>
      <c r="E157" s="3">
        <v>20513251506</v>
      </c>
      <c r="F157" s="3" t="s">
        <v>120</v>
      </c>
      <c r="G157" s="3" t="s">
        <v>363</v>
      </c>
      <c r="H157" s="3" t="s">
        <v>20</v>
      </c>
      <c r="I157" s="3" t="s">
        <v>153</v>
      </c>
      <c r="J157" s="3" t="s">
        <v>626</v>
      </c>
      <c r="K157" s="3" t="s">
        <v>23</v>
      </c>
      <c r="L157" s="3" t="s">
        <v>24</v>
      </c>
      <c r="M157" s="3" t="s">
        <v>25</v>
      </c>
      <c r="N157" s="4">
        <v>43441</v>
      </c>
      <c r="O157" s="4">
        <v>45264</v>
      </c>
      <c r="P157" s="3" t="s">
        <v>627</v>
      </c>
    </row>
    <row r="158" spans="1:16" ht="55.5">
      <c r="A158" s="3">
        <v>152</v>
      </c>
      <c r="B158" s="3" t="str">
        <f>"201400173385"</f>
        <v>201400173385</v>
      </c>
      <c r="C158" s="3" t="str">
        <f>"33779"</f>
        <v>33779</v>
      </c>
      <c r="D158" s="3" t="s">
        <v>628</v>
      </c>
      <c r="E158" s="3">
        <v>20100128218</v>
      </c>
      <c r="F158" s="3" t="s">
        <v>246</v>
      </c>
      <c r="G158" s="3" t="s">
        <v>49</v>
      </c>
      <c r="H158" s="3" t="s">
        <v>85</v>
      </c>
      <c r="I158" s="3" t="s">
        <v>138</v>
      </c>
      <c r="J158" s="3" t="s">
        <v>629</v>
      </c>
      <c r="K158" s="3" t="s">
        <v>140</v>
      </c>
      <c r="L158" s="3" t="s">
        <v>141</v>
      </c>
      <c r="M158" s="3" t="s">
        <v>189</v>
      </c>
      <c r="N158" s="4">
        <v>42079</v>
      </c>
      <c r="O158" s="3" t="s">
        <v>26</v>
      </c>
      <c r="P158" s="3" t="s">
        <v>630</v>
      </c>
    </row>
    <row r="159" spans="1:16" ht="27.75">
      <c r="A159" s="3">
        <v>153</v>
      </c>
      <c r="B159" s="3" t="str">
        <f>"201900187996"</f>
        <v>201900187996</v>
      </c>
      <c r="C159" s="3" t="str">
        <f>"33768"</f>
        <v>33768</v>
      </c>
      <c r="D159" s="3" t="s">
        <v>631</v>
      </c>
      <c r="E159" s="3">
        <v>20259033072</v>
      </c>
      <c r="F159" s="3" t="s">
        <v>632</v>
      </c>
      <c r="G159" s="3" t="s">
        <v>633</v>
      </c>
      <c r="H159" s="3" t="s">
        <v>102</v>
      </c>
      <c r="I159" s="3" t="s">
        <v>113</v>
      </c>
      <c r="J159" s="3" t="s">
        <v>168</v>
      </c>
      <c r="K159" s="3" t="s">
        <v>115</v>
      </c>
      <c r="L159" s="3" t="s">
        <v>115</v>
      </c>
      <c r="M159" s="3" t="s">
        <v>116</v>
      </c>
      <c r="N159" s="4">
        <v>43790</v>
      </c>
      <c r="O159" s="4">
        <v>44347</v>
      </c>
      <c r="P159" s="3" t="s">
        <v>108</v>
      </c>
    </row>
    <row r="160" spans="1:16" ht="27.75">
      <c r="A160" s="3">
        <v>154</v>
      </c>
      <c r="B160" s="3" t="str">
        <f>"201800112510"</f>
        <v>201800112510</v>
      </c>
      <c r="C160" s="3" t="str">
        <f>"105614"</f>
        <v>105614</v>
      </c>
      <c r="D160" s="3" t="s">
        <v>634</v>
      </c>
      <c r="E160" s="3">
        <v>20553167672</v>
      </c>
      <c r="F160" s="3" t="s">
        <v>110</v>
      </c>
      <c r="G160" s="3" t="s">
        <v>111</v>
      </c>
      <c r="H160" s="3" t="s">
        <v>112</v>
      </c>
      <c r="I160" s="3" t="s">
        <v>263</v>
      </c>
      <c r="J160" s="3" t="s">
        <v>635</v>
      </c>
      <c r="K160" s="3" t="s">
        <v>265</v>
      </c>
      <c r="L160" s="3" t="s">
        <v>266</v>
      </c>
      <c r="M160" s="3" t="s">
        <v>267</v>
      </c>
      <c r="N160" s="4">
        <v>43294</v>
      </c>
      <c r="O160" s="4">
        <v>45125</v>
      </c>
      <c r="P160" s="3" t="s">
        <v>636</v>
      </c>
    </row>
    <row r="161" spans="1:16" ht="27.75">
      <c r="A161" s="3">
        <v>155</v>
      </c>
      <c r="B161" s="3" t="str">
        <f>"201700162563"</f>
        <v>201700162563</v>
      </c>
      <c r="C161" s="3" t="str">
        <f>"132131"</f>
        <v>132131</v>
      </c>
      <c r="D161" s="3" t="s">
        <v>637</v>
      </c>
      <c r="E161" s="3">
        <v>20524856493</v>
      </c>
      <c r="F161" s="3" t="s">
        <v>638</v>
      </c>
      <c r="G161" s="3" t="s">
        <v>639</v>
      </c>
      <c r="H161" s="3" t="s">
        <v>640</v>
      </c>
      <c r="I161" s="3" t="s">
        <v>32</v>
      </c>
      <c r="J161" s="3" t="s">
        <v>641</v>
      </c>
      <c r="K161" s="3" t="s">
        <v>34</v>
      </c>
      <c r="L161" s="3" t="s">
        <v>35</v>
      </c>
      <c r="M161" s="3" t="s">
        <v>36</v>
      </c>
      <c r="N161" s="4">
        <v>43048</v>
      </c>
      <c r="O161" s="3" t="s">
        <v>26</v>
      </c>
      <c r="P161" s="3" t="s">
        <v>642</v>
      </c>
    </row>
    <row r="162" spans="1:16" ht="42">
      <c r="A162" s="3">
        <v>156</v>
      </c>
      <c r="B162" s="3" t="str">
        <f>"201900184705"</f>
        <v>201900184705</v>
      </c>
      <c r="C162" s="3" t="str">
        <f>"33813"</f>
        <v>33813</v>
      </c>
      <c r="D162" s="3" t="s">
        <v>643</v>
      </c>
      <c r="E162" s="3">
        <v>20503840121</v>
      </c>
      <c r="F162" s="3" t="s">
        <v>91</v>
      </c>
      <c r="G162" s="3" t="s">
        <v>92</v>
      </c>
      <c r="H162" s="3" t="s">
        <v>341</v>
      </c>
      <c r="I162" s="3" t="s">
        <v>211</v>
      </c>
      <c r="J162" s="3" t="s">
        <v>644</v>
      </c>
      <c r="K162" s="3" t="s">
        <v>213</v>
      </c>
      <c r="L162" s="3" t="s">
        <v>214</v>
      </c>
      <c r="M162" s="3" t="s">
        <v>215</v>
      </c>
      <c r="N162" s="4">
        <v>43788</v>
      </c>
      <c r="O162" s="4">
        <v>44192</v>
      </c>
      <c r="P162" s="3" t="s">
        <v>71</v>
      </c>
    </row>
  </sheetData>
  <sheetProtection/>
  <mergeCells count="1">
    <mergeCell ref="A2:P2"/>
  </mergeCells>
  <printOptions/>
  <pageMargins left="0.75" right="0.75" top="1" bottom="1" header="0.5" footer="0.5"/>
  <pageSetup orientation="portrait" paperSize="9"/>
  <customProperties>
    <customPr name="EpmWorksheetKeyString_GUID" r:id="rId2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Jose Manuel Castañeda Rossel</dc:creator>
  <cp:keywords/>
  <dc:description/>
  <cp:lastModifiedBy>Jose Manuel Castañeda Rossel</cp:lastModifiedBy>
  <dcterms:created xsi:type="dcterms:W3CDTF">2020-10-30T16:27:19Z</dcterms:created>
  <dcterms:modified xsi:type="dcterms:W3CDTF">2020-10-30T16:27:19Z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